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nV0joNY2Uy09nKXHm2PzXAhBatIvDtwotjfLvKVb5hhtRnNhU2rbC8V3n1zz9CC+uNGsk8fBl1JuLKoqJ8snxA==" workbookSaltValue="wW/DPZu/J9SlEVIgfYeob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N9" i="11" s="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ES20" i="8"/>
  <c r="C19" i="7"/>
  <c r="AC20" i="13"/>
  <c r="EP20" i="19"/>
  <c r="T13" i="12"/>
  <c r="BD18" i="13"/>
  <c r="BE17" i="13"/>
  <c r="BF17" i="13"/>
  <c r="AC20" i="8" l="1"/>
  <c r="R20" i="8"/>
  <c r="E12" i="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2" i="12" l="1"/>
  <c r="Z20" i="1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AX21" i="21"/>
  <c r="BP21" i="16"/>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<sst xmlns="http://schemas.openxmlformats.org/spreadsheetml/2006/main" count="2499" uniqueCount="1025">
  <si>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</si>
  <si>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</si>
  <si>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</si>
  <si>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</si>
  <si>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</si>
  <si>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</si>
  <si>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</si>
  <si>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</si>
  <si>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</si>
  <si>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</si>
  <si>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</si>
  <si>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</si>
  <si>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</si>
  <si>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</si>
  <si>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</si>
  <si>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</si>
  <si>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</si>
  <si>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</si>
  <si>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</si>
  <si>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</si>
  <si>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</si>
  <si>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</si>
  <si>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</si>
  <si>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</si>
  <si>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</si>
  <si>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</si>
  <si>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</si>
  <si>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</si>
  <si>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</si>
  <si>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</si>
  <si>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</si>
  <si>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</si>
  <si>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</si>
  <si>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</si>
  <si>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</si>
  <si>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</si>
  <si>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</si>
  <si>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</si>
  <si>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</si>
  <si>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</si>
  <si>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</si>
  <si>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</si>
  <si>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</si>
  <si>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</si>
  <si>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</si>
  <si>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</si>
  <si>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</si>
  <si>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</si>
  <si>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</si>
  <si>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</si>
  <si>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</si>
  <si>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</si>
  <si>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</si>
  <si>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</si>
  <si>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</si>
  <si>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</si>
  <si>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</si>
  <si>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</si>
  <si>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</si>
  <si>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</si>
  <si>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</si>
  <si>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</si>
  <si>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</si>
  <si>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</si>
  <si>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</si>
  <si>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</si>
  <si>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</si>
  <si>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</si>
  <si>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</si>
  <si>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</si>
  <si>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</si>
  <si>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</si>
  <si>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</si>
  <si>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</si>
  <si>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</si>
  <si>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</si>
  <si>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</si>
  <si>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</si>
  <si>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</si>
  <si>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</si>
  <si>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</si>
  <si>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</si>
  <si>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</si>
  <si>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</si>
  <si>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</si>
  <si>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</si>
  <si>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</si>
  <si>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</si>
  <si>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</si>
  <si>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</si>
  <si>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</si>
  <si>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</si>
  <si>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</si>
  <si>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</si>
  <si>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</si>
  <si>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</si>
  <si>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</si>
  <si>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</si>
  <si>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</si>
  <si>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</si>
  <si>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</si>
  <si>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</si>
  <si>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</si>
  <si>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</si>
  <si>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</si>
  <si>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</si>
  <si>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</si>
  <si>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</si>
  <si>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</si>
  <si>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</si>
  <si>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</si>
  <si>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</si>
  <si>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</si>
  <si>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</si>
  <si>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</si>
  <si>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</si>
  <si>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</si>
  <si>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</si>
  <si>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</si>
  <si>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</si>
  <si>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</si>
  <si>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</si>
  <si>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</si>
  <si>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</si>
  <si>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</si>
  <si>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</si>
  <si>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</si>
  <si>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</si>
  <si>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</si>
  <si>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</si>
  <si>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</si>
  <si>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</si>
  <si>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</si>
  <si>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</si>
  <si>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</si>
  <si>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</si>
  <si>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</si>
  <si>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</si>
  <si>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</si>
  <si>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</si>
  <si>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</si>
  <si>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</si>
  <si>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</si>
  <si>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</si>
  <si>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</si>
  <si>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</si>
  <si>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</si>
  <si>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</si>
  <si>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</si>
  <si>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</si>
  <si>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</si>
  <si>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</si>
  <si>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</si>
  <si>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</si>
  <si>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</si>
  <si>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</si>
  <si>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</si>
  <si>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</si>
  <si>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</si>
  <si>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</si>
  <si>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</si>
  <si>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</si>
  <si>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</si>
  <si>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</si>
  <si>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</si>
  <si>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</si>
  <si>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</si>
  <si>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</si>
  <si>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</si>
  <si>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</si>
  <si>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</si>
  <si>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</si>
  <si>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</si>
  <si>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</si>
  <si>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</si>
  <si>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</si>
  <si>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</si>
  <si>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</si>
  <si>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</si>
  <si>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</si>
  <si>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</si>
  <si>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</si>
  <si>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</si>
  <si>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</si>
  <si>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</si>
  <si>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</si>
  <si>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</si>
  <si>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</si>
  <si>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</si>
  <si>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</si>
  <si>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</si>
  <si>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</si>
  <si>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</si>
  <si>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</si>
  <si>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</si>
  <si>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</si>
  <si>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</si>
  <si>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</si>
  <si>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</si>
  <si>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</si>
  <si>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</si>
  <si>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</si>
  <si>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</si>
  <si>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</si>
  <si>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</si>
  <si>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</si>
  <si>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</si>
  <si>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</si>
  <si>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</si>
  <si>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</si>
  <si>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</si>
  <si>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</si>
  <si>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</si>
  <si>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</si>
  <si>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</si>
  <si>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</si>
  <si>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</si>
  <si>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</si>
  <si>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</si>
  <si>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</si>
  <si>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</si>
  <si>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</si>
  <si>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</si>
  <si>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</si>
  <si>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</si>
  <si>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</si>
  <si>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</si>
  <si>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</si>
  <si>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</si>
  <si>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</si>
  <si>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</si>
  <si>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</si>
  <si>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</si>
  <si>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</si>
  <si>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</si>
  <si>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</si>
  <si>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</si>
  <si>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</si>
  <si>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</si>
  <si>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</si>
  <si>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</si>
  <si>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</si>
  <si>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</si>
  <si>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</si>
  <si>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</si>
  <si>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</si>
  <si>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</si>
  <si>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</si>
  <si>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</si>
  <si>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</si>
  <si>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</si>
  <si>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</si>
  <si>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</si>
  <si>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</si>
  <si>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</si>
  <si>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</si>
  <si>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</si>
  <si>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</si>
  <si>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</si>
  <si>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</si>
  <si>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</si>
  <si>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</si>
  <si>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</si>
  <si>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</si>
  <si>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</si>
  <si>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</si>
  <si>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</si>
  <si>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</si>
  <si>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</si>
  <si>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</si>
  <si>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</si>
  <si>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</si>
  <si>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</si>
  <si>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</si>
  <si>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</si>
  <si>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</si>
  <si>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</si>
  <si>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</si>
  <si>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</si>
  <si>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</si>
  <si>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</si>
  <si>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</si>
  <si>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</si>
  <si>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</si>
  <si>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</si>
  <si>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</si>
  <si>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</si>
  <si>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</si>
  <si>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</si>
  <si>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</si>
  <si>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</si>
  <si>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</si>
  <si>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</si>
  <si>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</si>
  <si>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</si>
  <si>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</si>
  <si>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</si>
  <si>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</si>
  <si>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</si>
  <si>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</si>
  <si>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</si>
  <si>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</si>
  <si>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</si>
  <si>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</si>
  <si>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</si>
  <si>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</si>
  <si>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</si>
  <si>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</si>
  <si>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</si>
  <si>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</si>
  <si>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</si>
  <si>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</si>
  <si>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</si>
  <si>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</si>
  <si>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</si>
  <si>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</si>
  <si>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</si>
  <si>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</si>
  <si>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</si>
  <si>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</si>
  <si>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</si>
  <si>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</si>
  <si>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</si>
  <si>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</si>
  <si>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</si>
  <si>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</si>
  <si>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</si>
  <si>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</si>
  <si>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</si>
  <si>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</si>
  <si>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</si>
  <si>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</si>
  <si>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</si>
  <si>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</si>
  <si>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</si>
  <si>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</si>
  <si>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</si>
  <si>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</si>
  <si>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</si>
  <si>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</si>
  <si>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</si>
  <si>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</si>
  <si>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</si>
  <si>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</si>
  <si>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</si>
  <si>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</si>
  <si>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</si>
  <si>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</si>
  <si>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</si>
  <si>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</si>
  <si>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</si>
  <si>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</si>
  <si>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</si>
  <si>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</si>
  <si>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</si>
  <si>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</si>
  <si>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</si>
  <si>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</si>
  <si>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</si>
  <si>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</si>
  <si>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</si>
  <si>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</si>
  <si>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</si>
  <si>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</si>
  <si>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</si>
  <si>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</si>
  <si>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</si>
  <si>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</si>
  <si>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</si>
  <si>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</si>
  <si>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</si>
  <si>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</si>
  <si>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</si>
  <si>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</si>
  <si>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</si>
  <si>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</si>
  <si>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</si>
  <si>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</si>
  <si>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</si>
  <si>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</si>
  <si>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</si>
  <si>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</si>
  <si>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</si>
  <si>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</si>
  <si>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</si>
  <si>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</si>
  <si>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</si>
  <si>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</si>
  <si>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</si>
  <si>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</si>
  <si>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</si>
  <si>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</si>
  <si>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</si>
  <si>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</si>
  <si>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</si>
  <si>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</si>
  <si>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</si>
  <si>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</si>
  <si>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</si>
  <si>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</si>
  <si>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</si>
  <si>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</si>
  <si>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</si>
  <si>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</si>
  <si>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</si>
  <si>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</si>
  <si>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</si>
  <si>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</si>
  <si>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</si>
  <si>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</si>
  <si>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</si>
  <si>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</si>
  <si>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</si>
  <si>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</si>
  <si>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</si>
  <si>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</si>
  <si>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</si>
  <si>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</si>
  <si>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</si>
  <si>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</si>
  <si>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</si>
  <si>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</si>
  <si>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</si>
  <si>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</si>
  <si>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</si>
  <si>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</si>
  <si>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</si>
  <si>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</si>
  <si>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</si>
  <si>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</si>
  <si>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</si>
  <si>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</si>
  <si>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</si>
  <si>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</si>
  <si>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</si>
  <si>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</si>
  <si>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</si>
  <si>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</si>
  <si>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</si>
  <si>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</si>
  <si>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</si>
  <si>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</si>
  <si>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</si>
  <si>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</si>
  <si>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</si>
  <si>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</si>
  <si>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</si>
  <si>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</si>
  <si>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</si>
  <si>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</si>
  <si>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</si>
  <si>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</si>
  <si>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</si>
  <si>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</si>
  <si>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</si>
  <si>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</si>
  <si>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</si>
  <si>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</si>
  <si>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</si>
  <si>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</si>
  <si>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</si>
  <si>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</si>
  <si>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</si>
  <si>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</si>
  <si>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</si>
  <si>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</si>
  <si>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</si>
  <si>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</si>
  <si>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</si>
  <si>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</si>
  <si>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</si>
  <si>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</si>
  <si>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</si>
  <si>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</si>
  <si>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</si>
  <si>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</si>
  <si>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</si>
  <si>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</si>
  <si>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</si>
  <si>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</si>
  <si>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</si>
  <si>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</si>
  <si>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</si>
  <si>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</si>
  <si>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</si>
  <si>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</si>
  <si>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</si>
  <si>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</si>
  <si>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</si>
  <si>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</si>
  <si>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</si>
  <si>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</si>
  <si>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</si>
  <si>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</si>
  <si>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</si>
  <si>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</si>
  <si>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</si>
  <si>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</si>
  <si>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</si>
  <si>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</si>
  <si>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</si>
  <si>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</si>
  <si>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</si>
  <si>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</si>
  <si>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</si>
  <si>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</si>
  <si>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</si>
  <si>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</si>
  <si>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</si>
  <si>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</si>
  <si>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</si>
  <si>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</si>
  <si>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</si>
  <si>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</si>
  <si>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</si>
  <si>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</si>
  <si>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</si>
  <si>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</si>
  <si>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</si>
  <si>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</si>
  <si>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</si>
  <si>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</si>
  <si>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</si>
  <si>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</si>
  <si>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</si>
  <si>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</si>
  <si>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</si>
  <si>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</si>
  <si>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</si>
  <si>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</si>
  <si>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</si>
  <si>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</si>
  <si>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</si>
  <si>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</si>
  <si>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</si>
  <si>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</si>
  <si>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</si>
  <si>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</si>
  <si>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</si>
  <si>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</si>
  <si>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</si>
  <si>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</si>
  <si>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</si>
  <si>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</si>
  <si>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</si>
  <si>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</si>
  <si>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</si>
  <si>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</si>
  <si>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</si>
  <si>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</si>
  <si>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</si>
  <si>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</si>
  <si>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</si>
  <si>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</si>
  <si>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</si>
  <si>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</si>
  <si>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</si>
  <si>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</si>
  <si>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</si>
  <si>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</si>
  <si>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</si>
  <si>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</si>
  <si>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</si>
  <si>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</si>
  <si>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</si>
  <si>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</si>
  <si>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</si>
  <si>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</si>
  <si>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</si>
  <si>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</si>
  <si>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</si>
  <si>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</si>
  <si>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</si>
  <si>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</si>
  <si>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</si>
  <si>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</si>
  <si>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</si>
  <si>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</si>
  <si>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</si>
  <si>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</si>
  <si>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</si>
  <si>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</si>
  <si>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</si>
  <si>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</si>
  <si>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</si>
  <si>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</si>
  <si>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</si>
  <si>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</si>
  <si>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</si>
  <si>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</si>
  <si>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</si>
  <si>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</si>
  <si>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</si>
  <si>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</si>
  <si>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</si>
  <si>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</si>
  <si>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</si>
  <si>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</si>
  <si>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</si>
  <si>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</si>
  <si>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</si>
  <si>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</si>
  <si>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</si>
  <si>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</si>
  <si>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</si>
  <si>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</si>
  <si>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</si>
  <si>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</si>
  <si>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</si>
  <si>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</si>
  <si>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</si>
  <si>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</si>
  <si>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</si>
  <si>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</si>
  <si>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</si>
  <si>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</si>
  <si>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</si>
  <si>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</si>
  <si>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</si>
  <si>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</si>
  <si>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</si>
  <si>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</si>
  <si>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</si>
  <si>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</si>
  <si>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</si>
  <si>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</si>
  <si>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</si>
  <si>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</si>
  <si>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</si>
  <si>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</si>
  <si>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</si>
  <si>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</si>
  <si>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</si>
  <si>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</si>
  <si>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</si>
  <si>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</si>
  <si>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</si>
  <si>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</si>
  <si>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</si>
  <si>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</si>
  <si>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</si>
  <si>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</si>
  <si>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</si>
  <si>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</si>
  <si>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</si>
  <si>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</si>
  <si>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</si>
  <si>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</si>
  <si>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</si>
  <si>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</si>
  <si>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</si>
  <si>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</si>
  <si>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</si>
  <si>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</si>
  <si>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</si>
  <si>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</si>
  <si>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</si>
  <si>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</si>
  <si>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</si>
  <si>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</si>
  <si>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</si>
  <si>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</si>
  <si>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</si>
  <si>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</si>
  <si>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</si>
  <si>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</si>
  <si>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</si>
  <si>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</si>
  <si>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</si>
  <si>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</si>
  <si>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</si>
  <si>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</si>
  <si>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</si>
  <si>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</si>
  <si>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</si>
  <si>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</si>
  <si>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</si>
  <si>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</si>
  <si>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</si>
  <si>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</si>
  <si>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</si>
  <si>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</si>
  <si>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</si>
  <si>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</si>
  <si>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</si>
  <si>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</si>
  <si>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</si>
  <si>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</si>
  <si>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</si>
  <si>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</si>
  <si>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</si>
  <si>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</si>
  <si>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</si>
  <si>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</si>
  <si>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</si>
  <si>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</si>
  <si>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</si>
  <si>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</si>
  <si>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</si>
  <si>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</si>
  <si>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</si>
  <si>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</si>
  <si>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</si>
  <si>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</si>
  <si>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</si>
  <si>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</si>
  <si>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</si>
  <si>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</si>
  <si>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</si>
  <si>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</si>
  <si>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</si>
  <si>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</si>
  <si>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</si>
  <si>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</si>
  <si>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</si>
  <si>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</si>
  <si>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</si>
  <si>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</si>
  <si>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</si>
  <si>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</si>
  <si>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</si>
  <si>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</si>
  <si>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</si>
  <si>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</si>
  <si>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</si>
  <si>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</si>
  <si>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</si>
  <si>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</si>
  <si>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</si>
  <si>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</si>
  <si>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</si>
  <si>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</si>
  <si>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</si>
  <si>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</si>
  <si>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</si>
  <si>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</si>
  <si>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</si>
  <si>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</si>
  <si>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</si>
  <si>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</si>
  <si>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</si>
  <si>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</si>
  <si>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</si>
  <si>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</si>
  <si>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</si>
  <si>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</si>
  <si>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</si>
  <si>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</si>
  <si>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</si>
  <si>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</si>
  <si>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</si>
  <si>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</si>
  <si>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</si>
  <si>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</si>
  <si>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</si>
  <si>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</si>
  <si>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</si>
  <si>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</si>
  <si>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</si>
  <si>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</si>
  <si>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</si>
  <si>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</si>
  <si>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</si>
  <si>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</si>
  <si>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</si>
  <si>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</si>
  <si>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</si>
  <si>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</si>
  <si>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</si>
  <si>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</si>
  <si>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</si>
  <si>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</si>
  <si>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</si>
  <si>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</si>
  <si>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</si>
  <si>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</si>
  <si>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</si>
  <si>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</si>
  <si>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</si>
  <si>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</si>
  <si>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</si>
  <si>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</si>
  <si>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</si>
  <si>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</si>
  <si>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</si>
  <si>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</si>
  <si>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</si>
  <si>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</si>
  <si>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</si>
  <si>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</si>
  <si>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</si>
  <si>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</si>
  <si>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</si>
  <si>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</si>
  <si>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</si>
  <si>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</si>
  <si>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</si>
  <si>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</si>
  <si>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</si>
  <si>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</si>
  <si>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</si>
  <si>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</si>
  <si>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</si>
  <si>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</si>
  <si>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</si>
  <si>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</si>
  <si>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</si>
  <si>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</si>
  <si>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</si>
  <si>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</si>
  <si>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</si>
  <si>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</si>
  <si>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</si>
  <si>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</si>
  <si>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</si>
  <si>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</si>
  <si>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</si>
  <si>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</si>
  <si>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</si>
  <si>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</si>
  <si>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</si>
  <si>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</si>
  <si>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</si>
  <si>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</si>
  <si>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</si>
  <si>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</si>
  <si>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</si>
  <si>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</si>
  <si>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</si>
  <si>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</si>
  <si>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</si>
  <si>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</si>
  <si>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</si>
  <si>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</si>
  <si>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</si>
  <si>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</si>
  <si>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</si>
  <si>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</si>
  <si>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</si>
  <si>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</si>
  <si>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</si>
  <si>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</si>
  <si>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</si>
  <si>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</si>
  <si>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</si>
  <si>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</si>
  <si>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</si>
  <si>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</si>
  <si>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</si>
  <si>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</si>
  <si>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</si>
  <si>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</si>
  <si>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</si>
  <si>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</si>
  <si>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</si>
  <si>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</si>
  <si>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</si>
  <si>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</si>
  <si>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</si>
  <si>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</si>
  <si>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</si>
  <si>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</si>
  <si>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</si>
  <si>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</si>
  <si>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</si>
  <si>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</si>
  <si>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</si>
  <si>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</si>
  <si>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</si>
  <si>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</si>
  <si>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</si>
  <si>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</si>
  <si>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</si>
  <si>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</si>
  <si>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</si>
  <si>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</si>
  <si>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</si>
  <si>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</si>
  <si>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</si>
  <si>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</si>
  <si>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</si>
  <si>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</si>
  <si>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</si>
  <si>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</si>
  <si>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</si>
  <si>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</si>
  <si>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</si>
  <si>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</si>
  <si>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</si>
  <si>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</si>
  <si>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</si>
  <si>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</si>
  <si>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</si>
  <si>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</si>
  <si>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</si>
  <si>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</si>
  <si>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</si>
  <si>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</si>
  <si>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</si>
  <si>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</si>
  <si>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</si>
  <si>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</si>
  <si>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</si>
  <si>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</si>
  <si>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</si>
  <si>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</si>
  <si>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</si>
  <si>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</si>
  <si>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</si>
  <si>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</si>
  <si>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</si>
  <si>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</si>
  <si>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</si>
  <si>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</si>
  <si>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</si>
  <si>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</si>
  <si>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</si>
  <si>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</si>
  <si>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</si>
  <si>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</si>
  <si>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</si>
  <si>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</si>
  <si>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</si>
  <si>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</si>
  <si>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</si>
  <si>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</si>
  <si>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</si>
  <si>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</si>
  <si>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</si>
  <si>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</si>
  <si>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</si>
  <si>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</si>
  <si>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</si>
  <si>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</si>
  <si>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</si>
  <si>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</si>
  <si>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</si>
  <si>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</si>
  <si>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</si>
  <si>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</si>
  <si>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</si>
  <si>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</si>
  <si>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</si>
  <si>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</si>
  <si>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</si>
  <si>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</si>
  <si>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</si>
  <si>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</si>
  <si>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</si>
  <si>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</si>
  <si>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</si>
  <si>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</si>
  <si>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</si>
  <si>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</si>
  <si>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</si>
  <si>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</si>
  <si>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</si>
  <si>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</si>
  <si>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</si>
  <si>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</si>
  <si>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</si>
  <si>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</si>
  <si>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</si>
  <si>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</si>
  <si>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</si>
  <si>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</si>
  <si>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</si>
  <si>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</si>
  <si>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</si>
  <si>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</si>
  <si>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</si>
  <si>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</si>
  <si>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</si>
  <si>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</si>
  <si>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</si>
  <si>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</si>
  <si>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</si>
  <si>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</si>
  <si>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</si>
  <si>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</si>
  <si>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</si>
  <si>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</si>
  <si>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</si>
  <si>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</si>
  <si>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</si>
  <si>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</si>
  <si>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</si>
  <si>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</si>
  <si>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</si>
  <si>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</si>
  <si>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</si>
  <si>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</si>
  <si>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</si>
  <si>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</si>
  <si>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</si>
  <si>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</si>
  <si>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</si>
  <si>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</si>
  <si>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</si>
  <si>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</si>
  <si>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</si>
  <si>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</si>
  <si>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</si>
  <si>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</si>
  <si>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</si>
  <si>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</si>
  <si>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</si>
  <si>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</si>
  <si>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</si>
  <si>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</si>
  <si>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</si>
  <si>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</si>
  <si>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</si>
  <si>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</si>
  <si>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</si>
  <si>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</si>
  <si>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</si>
  <si>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</si>
  <si>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</si>
  <si>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</si>
  <si>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</si>
  <si>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MADRID</t>
  </si>
  <si>
    <t>Provincias</t>
  </si>
  <si>
    <t>Resumenes por Partidos Judiciales</t>
  </si>
  <si>
    <t>ARGANDA DEL 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</si>
</sst>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RmOsC4YMR+qY+oQhsYEcdu3JlQveCRTrCD8lbzqt+uMaMMgpozsUgIG7X84FhjK742xznRVUTVCIYJnKVYp60w==" saltValue="FwYN1Qg1X3BYjp9Ud4cQW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MADRID</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6</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74.044675642594854</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139</v>
      </c>
      <c r="D10" s="224">
        <f>IF(ISNUMBER(Datos!I10),Datos!I10," - ")</f>
        <v>139</v>
      </c>
      <c r="E10" s="225">
        <f>IF(ISNUMBER(Datos!J10),Datos!J10," - ")</f>
        <v>52</v>
      </c>
      <c r="F10" s="225">
        <f>IF(ISNUMBER(Datos!K10),Datos!K10," - ")</f>
        <v>42</v>
      </c>
      <c r="G10" s="1029" t="str">
        <f>IF(Datos!E10&lt;&gt;"",Datos!E10,Datos!D10)</f>
        <v>37</v>
      </c>
      <c r="H10" s="226">
        <f>IF(ISNUMBER(Datos!L10),Datos!L10," - ")</f>
        <v>149</v>
      </c>
      <c r="I10" s="1039" t="str">
        <f>IF(ISNUMBER(Datos!AS10/Datos!BM10),Datos!AS10/Datos!BM10," - ")</f>
        <v xml:space="preserve"> - </v>
      </c>
      <c r="J10" s="1040">
        <f>IF(ISNUMBER(Datos!BY10/Datos!CN10),Datos!BY10/Datos!CN10," - ")</f>
        <v>0</v>
      </c>
      <c r="K10" s="229">
        <f t="shared" ref="K10:K12" si="1">IF(ISNUMBER((E10-F10)/C10),(E10-F10)/C10," - ")</f>
        <v>7.1942446043165464E-2</v>
      </c>
      <c r="L10" s="1020">
        <f>IF(ISNUMBER(NºAsuntos!I10/NºAsuntos!G10),(NºAsuntos!I10/NºAsuntos!G10)*11," - ")</f>
        <v>39.023809523809518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56.533138401559455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139</v>
      </c>
      <c r="D13" s="1044">
        <f>SUBTOTAL(9,D9:D12)</f>
        <v>139</v>
      </c>
      <c r="E13" s="1045">
        <f>SUBTOTAL(9,E9:E12)</f>
        <v>52</v>
      </c>
      <c r="F13" s="1046">
        <f>SUBTOTAL(9,F9:F12)</f>
        <v>42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1949</v>
      </c>
      <c r="D15" s="224">
        <f>IF(ISNUMBER(IF(D_I="SI",Datos!I15,Datos!I15+Datos!AC15)),IF(D_I="SI",Datos!I15,Datos!I15+Datos!AC15)," - ")</f>
        <v>1940</v>
      </c>
      <c r="E15" s="225">
        <f>IF(ISNUMBER(IF(D_I="SI",Datos!J15,Datos!J15+Datos!AD15)),IF(D_I="SI",Datos!J15,Datos!J15+Datos!AD15)," - ")</f>
        <v>2950</v>
      </c>
      <c r="F15" s="225">
        <f>IF(ISNUMBER(IF(D_I="SI",Datos!K15,Datos!K15+Datos!AE15)),IF(D_I="SI",Datos!K15,Datos!K15+Datos!AE15)," - ")</f>
        <v>2462</v>
      </c>
      <c r="G15" s="1029" t="str">
        <f>IF(Datos!E15&lt;&gt;"",Datos!E15,Datos!D15)</f>
        <v>03</v>
      </c>
      <c r="H15" s="226">
        <f>IF(ISNUMBER(IF(D_I="SI",Datos!L15,Datos!L15+Datos!AF15)),IF(D_I="SI",Datos!L15,Datos!L15+Datos!AF15)," - ")</f>
        <v>2437</v>
      </c>
      <c r="I15" s="1039" t="str">
        <f>IF(ISNUMBER(Datos!AS15/Datos!BM15),Datos!AS15/Datos!BM15," - ")</f>
        <v xml:space="preserve"> - </v>
      </c>
      <c r="J15" s="1040">
        <f>IF(ISNUMBER(Datos!BY15/Datos!CN15),Datos!BY15/Datos!CN15," - ")</f>
        <v>0</v>
      </c>
      <c r="K15" s="229">
        <f t="shared" ref="K15:K18" si="3">IF(ISNUMBER((E15-F15)/C15),(E15-F15)/C15," - ")</f>
        <v>0.2503848127244741</v>
      </c>
      <c r="L15" s="1020">
        <f>IF(ISNUMBER(NºAsuntos!I15/NºAsuntos!G15),(NºAsuntos!I15/NºAsuntos!G15)*11," - ")</f>
        <v>10.888302193338749</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f t="shared" si="2"/>
        <v>2879</v>
      </c>
      <c r="D17" s="224">
        <f>IF(ISNUMBER(IF(D_I="SI",Datos!I17,Datos!I17+Datos!AC17)),IF(D_I="SI",Datos!I17,Datos!I17+Datos!AC17)," - ")</f>
        <v>2871</v>
      </c>
      <c r="E17" s="225">
        <f>IF(ISNUMBER(IF(D_I="SI",Datos!J17,Datos!J17+Datos!AD17)),IF(D_I="SI",Datos!J17,Datos!J17+Datos!AD17)," - ")</f>
        <v>255</v>
      </c>
      <c r="F17" s="225">
        <f>IF(ISNUMBER(IF(D_I="SI",Datos!K17,Datos!K17+Datos!AE17)),IF(D_I="SI",Datos!K17,Datos!K17+Datos!AE17)," - ")</f>
        <v>638</v>
      </c>
      <c r="G17" s="1029" t="str">
        <f>IF(Datos!E17&lt;&gt;"",Datos!E17,Datos!D17)</f>
        <v>04</v>
      </c>
      <c r="H17" s="226">
        <f>IF(ISNUMBER(IF(D_I="SI",Datos!L17,Datos!L17+Datos!AF17)),IF(D_I="SI",Datos!L17,Datos!L17+Datos!AF17)," - ")</f>
        <v>2496</v>
      </c>
      <c r="I17" s="1039" t="str">
        <f>IF(ISNUMBER(Datos!AS17/Datos!BM17),Datos!AS17/Datos!BM17," - ")</f>
        <v xml:space="preserve"> - </v>
      </c>
      <c r="J17" s="1040">
        <f>IF(ISNUMBER(Datos!BY17/Datos!CN17),Datos!BY17/Datos!CN17," - ")</f>
        <v>0</v>
      </c>
      <c r="K17" s="229">
        <f t="shared" si="3"/>
        <v>-0.13303230288294546</v>
      </c>
      <c r="L17" s="1020">
        <f>IF(ISNUMBER(NºAsuntos!I17/NºAsuntos!G17),(NºAsuntos!I17/NºAsuntos!G17)*11," - ")</f>
        <v>43.03448275862069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377</v>
      </c>
      <c r="D18" s="224">
        <f>IF(ISNUMBER(IF(D_I="SI",Datos!I18,Datos!I18+Datos!AC18)),IF(D_I="SI",Datos!I18,Datos!I18+Datos!AC18)," - ")</f>
        <v>372</v>
      </c>
      <c r="E18" s="225">
        <f>IF(ISNUMBER(IF(D_I="SI",Datos!J18,Datos!J18+Datos!AD18)),IF(D_I="SI",Datos!J18,Datos!J18+Datos!AD18)," - ")</f>
        <v>628</v>
      </c>
      <c r="F18" s="225">
        <f>IF(ISNUMBER(IF(D_I="SI",Datos!K18,Datos!K18+Datos!AE18)),IF(D_I="SI",Datos!K18,Datos!K18+Datos!AE18)," - ")</f>
        <v>674</v>
      </c>
      <c r="G18" s="1029" t="str">
        <f>IF(Datos!E18&lt;&gt;"",Datos!E18,Datos!D18)</f>
        <v>37</v>
      </c>
      <c r="H18" s="226">
        <f>IF(ISNUMBER(IF(D_I="SI",Datos!L18,Datos!L18+Datos!AF18)),IF(D_I="SI",Datos!L18,Datos!L18+Datos!AF18)," - ")</f>
        <v>331</v>
      </c>
      <c r="I18" s="1039" t="str">
        <f>IF(ISNUMBER(Datos!AS18/Datos!BM18),Datos!AS18/Datos!BM18," - ")</f>
        <v xml:space="preserve"> - </v>
      </c>
      <c r="J18" s="1040" t="str">
        <f>IF(ISNUMBER((Datos!BY18+Datos!BZ18)/Datos!CN18),(Datos!BY18+Datos!BZ18)/Datos!CN18," - ")</f>
        <v xml:space="preserve"> - </v>
      </c>
      <c r="K18" s="229">
        <f t="shared" si="3"/>
        <v>-0.1220159151193634</v>
      </c>
      <c r="L18" s="1020">
        <f>IF(ISNUMBER(NºAsuntos!I18/NºAsuntos!G18),(NºAsuntos!I18/NºAsuntos!G18)*11," - ")</f>
        <v>5.4020771513353116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5205</v>
      </c>
      <c r="D19" s="1044">
        <f>SUBTOTAL(9,D15:D18)</f>
        <v>5183</v>
      </c>
      <c r="E19" s="1045">
        <f>SUBTOTAL(9,E15:E18)</f>
        <v>3833</v>
      </c>
      <c r="F19" s="1045">
        <f>SUBTOTAL(9,F15:F18)</f>
        <v>3774</v>
      </c>
      <c r="G19" s="1047" t="str">
        <f ca="1">INDIRECT(CONCATENATE("G",ROW()-1))</f>
        <v>37</v>
      </c>
      <c r="H19" s="1048">
        <f ca="1">SUMIF(G$14:G18,G19,H$14:H18)</f>
        <v>331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5344</v>
      </c>
      <c r="D20" s="1066">
        <f>SUBTOTAL(9,D9:D19)</f>
        <v>5322</v>
      </c>
      <c r="E20" s="1067">
        <f>SUBTOTAL(9,E9:E19)</f>
        <v>3885</v>
      </c>
      <c r="F20" s="1067">
        <f>SUBTOTAL(9,F9:F19)</f>
        <v>3816</v>
      </c>
      <c r="G20" s="1068"/>
      <c r="H20" s="1069">
        <f ca="1">SUMIF(B9:B19,"TOTAL",H9:H19)</f>
        <v>331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RezQX4yvG8PxJ+5wzRyVV7fSLojYJVF/jioeeMm2iFf270SP+9MyzykjMYWV2jEvkqscqnrxydfxBP1nVTBmog==" saltValue="vqvfFycnbcuRRFskyKrKk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mE3TI7XDSmlCPCjTxb5KXdKNVzLehhdfxmsZhUYEnZY/9bPS/I3VyecALpJDCblDsJ+zNZep8TXxl/no/w54+w==" saltValue="RLsw8zmvF2JFbfoY7DDO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9554</v>
      </c>
      <c r="J9" s="180">
        <v>2656</v>
      </c>
      <c r="K9" s="180">
        <v>1403</v>
      </c>
      <c r="L9" s="180">
        <v>10807</v>
      </c>
      <c r="M9" s="180">
        <v>321</v>
      </c>
      <c r="N9" s="180">
        <v>729</v>
      </c>
      <c r="O9" s="180">
        <v>518</v>
      </c>
      <c r="P9" s="180">
        <v>281</v>
      </c>
      <c r="Q9" s="180">
        <v>153</v>
      </c>
      <c r="R9" s="180">
        <v>6599</v>
      </c>
      <c r="S9" s="180">
        <v>0</v>
      </c>
      <c r="T9" s="180">
        <v>0</v>
      </c>
      <c r="U9" s="180">
        <v>0</v>
      </c>
      <c r="V9" s="180">
        <v>0</v>
      </c>
      <c r="W9" s="180">
        <v>0</v>
      </c>
      <c r="X9" s="187">
        <v>0</v>
      </c>
      <c r="Y9" s="190">
        <v>195</v>
      </c>
      <c r="Z9" s="180">
        <v>228</v>
      </c>
      <c r="AA9" s="180">
        <v>231</v>
      </c>
      <c r="AB9" s="180">
        <v>192</v>
      </c>
      <c r="AC9" s="180">
        <v>0</v>
      </c>
      <c r="AD9" s="180">
        <v>0</v>
      </c>
      <c r="AE9" s="180">
        <v>0</v>
      </c>
      <c r="AF9" s="187">
        <v>0</v>
      </c>
      <c r="AG9" s="190">
        <v>0</v>
      </c>
      <c r="AH9" s="180">
        <v>0</v>
      </c>
      <c r="AI9" s="180">
        <v>0</v>
      </c>
      <c r="AJ9" s="191">
        <v>0</v>
      </c>
      <c r="AK9" s="179">
        <v>0</v>
      </c>
      <c r="AL9" s="180">
        <v>0</v>
      </c>
      <c r="AM9" s="180">
        <v>0</v>
      </c>
      <c r="AN9" s="187">
        <v>0</v>
      </c>
      <c r="AO9" s="257">
        <v>6</v>
      </c>
      <c r="AP9" s="153">
        <v>6</v>
      </c>
      <c r="AQ9" s="153">
        <v>6</v>
      </c>
      <c r="AR9" s="192">
        <v>6</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f>IF(ISNUMBER(X9),X9," - ")</f>
        <v>0</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139</v>
      </c>
      <c r="J10" s="180">
        <v>52</v>
      </c>
      <c r="K10" s="180">
        <v>42</v>
      </c>
      <c r="L10" s="180">
        <v>149</v>
      </c>
      <c r="M10" s="180">
        <v>19</v>
      </c>
      <c r="N10" s="180">
        <v>10</v>
      </c>
      <c r="O10" s="180">
        <v>8</v>
      </c>
      <c r="P10" s="180">
        <v>7</v>
      </c>
      <c r="Q10" s="180">
        <v>8</v>
      </c>
      <c r="R10" s="180">
        <v>67</v>
      </c>
      <c r="S10" s="180">
        <v>123</v>
      </c>
      <c r="T10" s="180">
        <v>62</v>
      </c>
      <c r="U10" s="180">
        <v>53</v>
      </c>
      <c r="V10" s="180">
        <v>132</v>
      </c>
      <c r="W10" s="180">
        <v>0</v>
      </c>
      <c r="X10" s="187">
        <v>19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757</v>
      </c>
      <c r="AT10" s="191"/>
      <c r="AU10" s="199"/>
      <c r="AV10" s="191"/>
      <c r="AW10" s="199"/>
      <c r="AX10" s="191"/>
      <c r="AY10" s="128">
        <f t="shared" ref="AY10:BC10" si="0">IF(ISNUMBER(S10),S10," - ")</f>
        <v>123</v>
      </c>
      <c r="AZ10" s="129">
        <f t="shared" si="0"/>
        <v>62</v>
      </c>
      <c r="BA10" s="129">
        <f t="shared" si="0"/>
        <v>53</v>
      </c>
      <c r="BB10" s="129">
        <f t="shared" si="0"/>
        <v>132</v>
      </c>
      <c r="BC10" s="125">
        <f t="shared" si="0"/>
        <v>0</v>
      </c>
      <c r="BD10" s="126">
        <f>IF(ISNUMBER(BA10/AZ10),BA10/AZ10," - ")</f>
        <v>0.85483870967741937</v>
      </c>
      <c r="BE10" s="127">
        <f>IF(ISNUMBER(BB10/BA10),BB10/BA10, " - ")</f>
        <v>2.4905660377358489</v>
      </c>
      <c r="BF10" s="127">
        <f>IF(ISNUMBER(BC10/BA10),BC10/BA10, " - ")</f>
        <v>0</v>
      </c>
      <c r="BG10" s="195">
        <f>IF(ISNUMBER((AY10+AZ10)/BA10),(AY10+AZ10)/BA10," - ")</f>
        <v>3.4905660377358489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5983</v>
      </c>
      <c r="J12" s="182">
        <v>161</v>
      </c>
      <c r="K12" s="182">
        <v>978</v>
      </c>
      <c r="L12" s="182">
        <v>5167</v>
      </c>
      <c r="M12" s="182">
        <v>149</v>
      </c>
      <c r="N12" s="182">
        <v>388</v>
      </c>
      <c r="O12" s="180">
        <v>337</v>
      </c>
      <c r="P12" s="182">
        <v>168</v>
      </c>
      <c r="Q12" s="182">
        <v>122</v>
      </c>
      <c r="R12" s="182">
        <v>4454</v>
      </c>
      <c r="S12" s="182">
        <v>14045</v>
      </c>
      <c r="T12" s="182">
        <v>5017</v>
      </c>
      <c r="U12" s="182">
        <v>3208</v>
      </c>
      <c r="V12" s="182">
        <v>16190</v>
      </c>
      <c r="W12" s="182">
        <v>562</v>
      </c>
      <c r="X12" s="188">
        <v>1771</v>
      </c>
      <c r="Y12" s="190">
        <v>133</v>
      </c>
      <c r="Z12" s="180">
        <v>21</v>
      </c>
      <c r="AA12" s="180">
        <v>48</v>
      </c>
      <c r="AB12" s="180">
        <v>106</v>
      </c>
      <c r="AC12" s="182">
        <v>0</v>
      </c>
      <c r="AD12" s="182">
        <v>0</v>
      </c>
      <c r="AE12" s="182">
        <v>0</v>
      </c>
      <c r="AF12" s="188">
        <v>0</v>
      </c>
      <c r="AG12" s="201">
        <v>282</v>
      </c>
      <c r="AH12" s="182">
        <v>238</v>
      </c>
      <c r="AI12" s="182">
        <v>255</v>
      </c>
      <c r="AJ12" s="202">
        <v>263</v>
      </c>
      <c r="AK12" s="181">
        <v>0</v>
      </c>
      <c r="AL12" s="182">
        <v>0</v>
      </c>
      <c r="AM12" s="182">
        <v>0</v>
      </c>
      <c r="AN12" s="188">
        <v>0</v>
      </c>
      <c r="AO12" s="258">
        <v>0</v>
      </c>
      <c r="AP12" s="154">
        <v>0</v>
      </c>
      <c r="AQ12" s="154">
        <v>0</v>
      </c>
      <c r="AR12" s="153">
        <v>0</v>
      </c>
      <c r="AS12" s="339" t="s">
        <v>766</v>
      </c>
      <c r="AT12" s="202"/>
      <c r="AU12" s="201"/>
      <c r="AV12" s="202"/>
      <c r="AW12" s="201"/>
      <c r="AX12" s="202"/>
      <c r="AY12" s="126">
        <f t="shared" si="1"/>
        <v>14327</v>
      </c>
      <c r="AZ12" s="127">
        <f t="shared" si="1"/>
        <v>5255</v>
      </c>
      <c r="BA12" s="127">
        <f t="shared" si="1"/>
        <v>3463</v>
      </c>
      <c r="BB12" s="127">
        <f t="shared" si="1"/>
        <v>16453</v>
      </c>
      <c r="BC12" s="125">
        <f>IF(ISNUMBER(X12),X12," - ")</f>
        <v>1771</v>
      </c>
      <c r="BD12" s="126">
        <f t="shared" si="2"/>
        <v>0.65899143672692673</v>
      </c>
      <c r="BE12" s="127">
        <f t="shared" si="3"/>
        <v>4.7510828761189723</v>
      </c>
      <c r="BF12" s="127">
        <f t="shared" si="4"/>
        <v>0.51140629511983826</v>
      </c>
      <c r="BG12" s="195">
        <f t="shared" si="5"/>
        <v>5.6546347097892005</v>
      </c>
      <c r="BH12" s="154">
        <v>10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15676</v>
      </c>
      <c r="J13" s="183">
        <f t="shared" si="6"/>
        <v>2869</v>
      </c>
      <c r="K13" s="183">
        <f t="shared" si="6"/>
        <v>2423</v>
      </c>
      <c r="L13" s="183">
        <f t="shared" si="6"/>
        <v>16123</v>
      </c>
      <c r="M13" s="183">
        <f t="shared" si="6"/>
        <v>489</v>
      </c>
      <c r="N13" s="183">
        <f t="shared" si="6"/>
        <v>1127</v>
      </c>
      <c r="O13" s="183">
        <f t="shared" si="6"/>
        <v>863</v>
      </c>
      <c r="P13" s="183">
        <f t="shared" si="6"/>
        <v>456</v>
      </c>
      <c r="Q13" s="183">
        <f t="shared" si="6"/>
        <v>283</v>
      </c>
      <c r="R13" s="183">
        <f t="shared" si="6"/>
        <v>11120</v>
      </c>
      <c r="S13" s="183">
        <f t="shared" si="6"/>
        <v>14168</v>
      </c>
      <c r="T13" s="183">
        <f t="shared" si="6"/>
        <v>5079</v>
      </c>
      <c r="U13" s="183">
        <f t="shared" si="6"/>
        <v>3261</v>
      </c>
      <c r="V13" s="183">
        <f t="shared" si="6"/>
        <v>16322</v>
      </c>
      <c r="W13" s="183">
        <f t="shared" si="6"/>
        <v>562</v>
      </c>
      <c r="X13" s="183">
        <f t="shared" si="6"/>
        <v>1790</v>
      </c>
      <c r="Y13" s="183">
        <f t="shared" si="6"/>
        <v>328</v>
      </c>
      <c r="Z13" s="183">
        <f t="shared" si="6"/>
        <v>249</v>
      </c>
      <c r="AA13" s="183">
        <f t="shared" si="6"/>
        <v>279</v>
      </c>
      <c r="AB13" s="183">
        <f t="shared" si="6"/>
        <v>298</v>
      </c>
      <c r="AC13" s="183">
        <f t="shared" si="6"/>
        <v>0</v>
      </c>
      <c r="AD13" s="183">
        <f t="shared" si="6"/>
        <v>0</v>
      </c>
      <c r="AE13" s="183">
        <f t="shared" si="6"/>
        <v>0</v>
      </c>
      <c r="AF13" s="183">
        <f>SUBTOTAL(9,AF9:AF12)</f>
        <v>0</v>
      </c>
      <c r="AG13" s="183">
        <f t="shared" ref="AG13:AT13" si="7">SUBTOTAL(9,AG8:AG12)</f>
        <v>282</v>
      </c>
      <c r="AH13" s="183">
        <f t="shared" si="7"/>
        <v>238</v>
      </c>
      <c r="AI13" s="183">
        <f t="shared" si="7"/>
        <v>255</v>
      </c>
      <c r="AJ13" s="183">
        <f t="shared" si="7"/>
        <v>263</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14450</v>
      </c>
      <c r="AZ13" s="183">
        <f>SUBTOTAL(9,AZ8:AZ12)</f>
        <v>5317</v>
      </c>
      <c r="BA13" s="183">
        <f>SUBTOTAL(9,BA8:BA12)</f>
        <v>3516</v>
      </c>
      <c r="BB13" s="183">
        <f>SUBTOTAL(9,BB8:BB12)</f>
        <v>16585</v>
      </c>
      <c r="BC13" s="183">
        <f>SUBTOTAL(9,BC8:BC12)</f>
        <v>1771</v>
      </c>
      <c r="BD13" s="204">
        <f>IF(ISNUMBER(BA13/AZ13),BA13/AZ13," - ")</f>
        <v>0.66127515516268576</v>
      </c>
      <c r="BE13" s="205">
        <f>IF(ISNUMBER(BB13/BA13),BB13/BA13, " - ")</f>
        <v>4.7170079635949946</v>
      </c>
      <c r="BF13" s="205">
        <f>IF(ISNUMBER(BC13/BA13),BC13/BA13, " - ")</f>
        <v>0.50369738339021619</v>
      </c>
      <c r="BG13" s="206">
        <f>IF(ISNUMBER((AY13+AZ13)/BA13),(AY13+AZ13)/BA13," - ")</f>
        <v>5.6220136518771335</v>
      </c>
      <c r="BH13" s="139">
        <f>SUBTOTAL(9,BH8:BH12)</f>
        <v>11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1940</v>
      </c>
      <c r="J15" s="182">
        <v>2950</v>
      </c>
      <c r="K15" s="182">
        <v>2462</v>
      </c>
      <c r="L15" s="182">
        <v>2437</v>
      </c>
      <c r="M15" s="182">
        <v>310</v>
      </c>
      <c r="N15" s="182">
        <v>1665</v>
      </c>
      <c r="O15" s="180">
        <v>21</v>
      </c>
      <c r="P15" s="182">
        <v>65</v>
      </c>
      <c r="Q15" s="182">
        <v>45</v>
      </c>
      <c r="R15" s="182">
        <v>238</v>
      </c>
      <c r="S15" s="182">
        <v>0</v>
      </c>
      <c r="T15" s="182">
        <v>0</v>
      </c>
      <c r="U15" s="182">
        <v>0</v>
      </c>
      <c r="V15" s="182">
        <v>0</v>
      </c>
      <c r="W15" s="182">
        <v>0</v>
      </c>
      <c r="X15" s="188">
        <v>0</v>
      </c>
      <c r="Y15" s="201">
        <v>0</v>
      </c>
      <c r="Z15" s="182">
        <v>0</v>
      </c>
      <c r="AA15" s="182">
        <v>0</v>
      </c>
      <c r="AB15" s="182">
        <v>0</v>
      </c>
      <c r="AC15" s="182">
        <v>0</v>
      </c>
      <c r="AD15" s="182">
        <v>49</v>
      </c>
      <c r="AE15" s="182">
        <v>49</v>
      </c>
      <c r="AF15" s="188">
        <v>0</v>
      </c>
      <c r="AG15" s="201">
        <v>0</v>
      </c>
      <c r="AH15" s="182">
        <v>0</v>
      </c>
      <c r="AI15" s="182">
        <v>0</v>
      </c>
      <c r="AJ15" s="202">
        <v>0</v>
      </c>
      <c r="AK15" s="181">
        <v>0</v>
      </c>
      <c r="AL15" s="182">
        <v>0</v>
      </c>
      <c r="AM15" s="182">
        <v>0</v>
      </c>
      <c r="AN15" s="188">
        <v>0</v>
      </c>
      <c r="AO15" s="258">
        <v>4</v>
      </c>
      <c r="AP15" s="154">
        <v>4</v>
      </c>
      <c r="AQ15" s="154">
        <v>4</v>
      </c>
      <c r="AR15" s="154">
        <v>4</v>
      </c>
      <c r="AS15" s="339" t="s">
        <v>520</v>
      </c>
      <c r="AT15" s="202" t="s">
        <v>327</v>
      </c>
      <c r="AU15" s="201"/>
      <c r="AV15" s="202"/>
      <c r="AW15" s="201"/>
      <c r="AX15" s="202"/>
      <c r="AY15" s="128">
        <f t="shared" ref="AY15:BB17" si="9">IF(ISNUMBER(IF(D_I="SI",S15,S15+AK15)),IF(D_I="SI",S15,S15+AK15)," - ")</f>
        <v>0</v>
      </c>
      <c r="AZ15" s="129">
        <f t="shared" si="9"/>
        <v>0</v>
      </c>
      <c r="BA15" s="129">
        <f t="shared" si="9"/>
        <v>0</v>
      </c>
      <c r="BB15" s="129">
        <f t="shared" si="9"/>
        <v>0</v>
      </c>
      <c r="BC15" s="125">
        <f>IF(ISNUMBER(W15),W15," - ")</f>
        <v>0</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2871</v>
      </c>
      <c r="J17" s="182">
        <v>255</v>
      </c>
      <c r="K17" s="182">
        <v>638</v>
      </c>
      <c r="L17" s="182">
        <v>2496</v>
      </c>
      <c r="M17" s="182">
        <v>92</v>
      </c>
      <c r="N17" s="182">
        <v>334</v>
      </c>
      <c r="O17" s="180">
        <v>14</v>
      </c>
      <c r="P17" s="182">
        <v>46</v>
      </c>
      <c r="Q17" s="182">
        <v>66</v>
      </c>
      <c r="R17" s="182">
        <v>315</v>
      </c>
      <c r="S17" s="182">
        <v>4301</v>
      </c>
      <c r="T17" s="182">
        <v>3055</v>
      </c>
      <c r="U17" s="182">
        <v>3201</v>
      </c>
      <c r="V17" s="182">
        <v>4228</v>
      </c>
      <c r="W17" s="182">
        <v>357</v>
      </c>
      <c r="X17" s="188">
        <v>2125</v>
      </c>
      <c r="Y17" s="201">
        <v>0</v>
      </c>
      <c r="Z17" s="182">
        <v>0</v>
      </c>
      <c r="AA17" s="182">
        <v>0</v>
      </c>
      <c r="AB17" s="182">
        <v>0</v>
      </c>
      <c r="AC17" s="182">
        <v>0</v>
      </c>
      <c r="AD17" s="182">
        <v>2</v>
      </c>
      <c r="AE17" s="182">
        <v>2</v>
      </c>
      <c r="AF17" s="188">
        <v>0</v>
      </c>
      <c r="AG17" s="201">
        <v>0</v>
      </c>
      <c r="AH17" s="182">
        <v>0</v>
      </c>
      <c r="AI17" s="182">
        <v>0</v>
      </c>
      <c r="AJ17" s="202">
        <v>0</v>
      </c>
      <c r="AK17" s="181">
        <v>10</v>
      </c>
      <c r="AL17" s="182">
        <v>27</v>
      </c>
      <c r="AM17" s="182">
        <v>26</v>
      </c>
      <c r="AN17" s="188">
        <v>11</v>
      </c>
      <c r="AO17" s="258">
        <v>0</v>
      </c>
      <c r="AP17" s="154">
        <v>0</v>
      </c>
      <c r="AQ17" s="154">
        <v>0</v>
      </c>
      <c r="AR17" s="154">
        <v>0</v>
      </c>
      <c r="AS17" s="339" t="s">
        <v>486</v>
      </c>
      <c r="AT17" s="202"/>
      <c r="AU17" s="201"/>
      <c r="AV17" s="202"/>
      <c r="AW17" s="201"/>
      <c r="AX17" s="202"/>
      <c r="AY17" s="126">
        <f t="shared" si="9"/>
        <v>4301</v>
      </c>
      <c r="AZ17" s="127">
        <f t="shared" si="9"/>
        <v>3055</v>
      </c>
      <c r="BA17" s="127">
        <f t="shared" si="9"/>
        <v>3201</v>
      </c>
      <c r="BB17" s="127">
        <f t="shared" si="9"/>
        <v>4228</v>
      </c>
      <c r="BC17" s="125">
        <f>IF(ISNUMBER(W17),W17," - ")</f>
        <v>357</v>
      </c>
      <c r="BD17" s="126">
        <f t="shared" ref="BD17" si="16">IF(ISNUMBER(BA17/AZ17),BA17/AZ17," - ")</f>
        <v>1.0477905073649754</v>
      </c>
      <c r="BE17" s="127">
        <f t="shared" ref="BE17" si="17">IF(ISNUMBER(BB17/BA17),BB17/BA17, " - ")</f>
        <v>1.3208372383630116</v>
      </c>
      <c r="BF17" s="127">
        <f t="shared" ref="BF17" si="18">IF(ISNUMBER(BC17/BA17),BC17/BA17, " - ")</f>
        <v>0.11152764761012184</v>
      </c>
      <c r="BG17" s="195">
        <f t="shared" si="10"/>
        <v>2.2980318650421743</v>
      </c>
      <c r="BH17" s="154">
        <v>10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372</v>
      </c>
      <c r="J18" s="182">
        <v>628</v>
      </c>
      <c r="K18" s="182">
        <v>674</v>
      </c>
      <c r="L18" s="182">
        <v>331</v>
      </c>
      <c r="M18" s="182">
        <v>11</v>
      </c>
      <c r="N18" s="182">
        <v>441</v>
      </c>
      <c r="O18" s="182">
        <v>0</v>
      </c>
      <c r="P18" s="182">
        <v>0</v>
      </c>
      <c r="Q18" s="182">
        <v>0</v>
      </c>
      <c r="R18" s="182">
        <v>10</v>
      </c>
      <c r="S18" s="182">
        <v>381</v>
      </c>
      <c r="T18" s="182">
        <v>508</v>
      </c>
      <c r="U18" s="182">
        <v>610</v>
      </c>
      <c r="V18" s="182">
        <v>287</v>
      </c>
      <c r="W18" s="182">
        <v>13</v>
      </c>
      <c r="X18" s="188">
        <v>280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2</v>
      </c>
      <c r="AQ18" s="153">
        <v>2</v>
      </c>
      <c r="AR18" s="154">
        <v>2</v>
      </c>
      <c r="AS18" s="338" t="s">
        <v>880</v>
      </c>
      <c r="AT18" s="208"/>
      <c r="AU18" s="199"/>
      <c r="AV18" s="208"/>
      <c r="AW18" s="199"/>
      <c r="AX18" s="208"/>
      <c r="AY18" s="128">
        <f t="shared" ref="AY18:BB18" si="19">IF(ISNUMBER(S18),S18," - ")</f>
        <v>381</v>
      </c>
      <c r="AZ18" s="129">
        <f t="shared" si="19"/>
        <v>508</v>
      </c>
      <c r="BA18" s="129">
        <f t="shared" si="19"/>
        <v>610</v>
      </c>
      <c r="BB18" s="129">
        <f t="shared" si="19"/>
        <v>287</v>
      </c>
      <c r="BC18" s="125">
        <f>IF(ISNUMBER(W18),W18," - ")</f>
        <v>13</v>
      </c>
      <c r="BD18" s="126">
        <f>IF(ISNUMBER(BA18/AZ18),BA18/AZ18," - ")</f>
        <v>1.2007874015748032</v>
      </c>
      <c r="BE18" s="127">
        <f>IF(ISNUMBER(BB18/BA18),BB18/BA18, " - ")</f>
        <v>0.4704918032786885</v>
      </c>
      <c r="BF18" s="127">
        <f>IF(ISNUMBER(BC18/BA18),BC18/BA18, " - ")</f>
        <v>2.1311475409836064E-2</v>
      </c>
      <c r="BG18" s="195">
        <f>IF(ISNUMBER((AY18+AZ18)/BA18),(AY18+AZ18)/BA18," - ")</f>
        <v>1.457377049180328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5183</v>
      </c>
      <c r="J19" s="183">
        <f t="shared" si="20"/>
        <v>3833</v>
      </c>
      <c r="K19" s="183">
        <f t="shared" si="20"/>
        <v>3774</v>
      </c>
      <c r="L19" s="183">
        <f t="shared" si="20"/>
        <v>5264</v>
      </c>
      <c r="M19" s="183">
        <f t="shared" si="20"/>
        <v>413</v>
      </c>
      <c r="N19" s="183">
        <f t="shared" si="20"/>
        <v>2440</v>
      </c>
      <c r="O19" s="183">
        <f t="shared" si="20"/>
        <v>35</v>
      </c>
      <c r="P19" s="183">
        <f t="shared" si="20"/>
        <v>111</v>
      </c>
      <c r="Q19" s="183">
        <f t="shared" si="20"/>
        <v>111</v>
      </c>
      <c r="R19" s="183">
        <f t="shared" si="20"/>
        <v>563</v>
      </c>
      <c r="S19" s="183">
        <f t="shared" si="20"/>
        <v>4682</v>
      </c>
      <c r="T19" s="183">
        <f t="shared" si="20"/>
        <v>3563</v>
      </c>
      <c r="U19" s="183">
        <f t="shared" si="20"/>
        <v>3811</v>
      </c>
      <c r="V19" s="183">
        <f t="shared" si="20"/>
        <v>4515</v>
      </c>
      <c r="W19" s="183">
        <f t="shared" si="20"/>
        <v>370</v>
      </c>
      <c r="X19" s="183">
        <f t="shared" si="20"/>
        <v>2405</v>
      </c>
      <c r="Y19" s="183">
        <f t="shared" si="20"/>
        <v>0</v>
      </c>
      <c r="Z19" s="183">
        <f t="shared" si="20"/>
        <v>0</v>
      </c>
      <c r="AA19" s="183">
        <f t="shared" si="20"/>
        <v>0</v>
      </c>
      <c r="AB19" s="183">
        <f t="shared" si="20"/>
        <v>0</v>
      </c>
      <c r="AC19" s="183">
        <f t="shared" si="20"/>
        <v>0</v>
      </c>
      <c r="AD19" s="183">
        <f t="shared" si="20"/>
        <v>51</v>
      </c>
      <c r="AE19" s="183">
        <f t="shared" si="20"/>
        <v>51</v>
      </c>
      <c r="AF19" s="183">
        <f t="shared" si="20"/>
        <v>0</v>
      </c>
      <c r="AG19" s="183">
        <f t="shared" si="20"/>
        <v>0</v>
      </c>
      <c r="AH19" s="183">
        <f t="shared" si="20"/>
        <v>0</v>
      </c>
      <c r="AI19" s="183">
        <f t="shared" si="20"/>
        <v>0</v>
      </c>
      <c r="AJ19" s="183">
        <f t="shared" si="20"/>
        <v>0</v>
      </c>
      <c r="AK19" s="183">
        <f t="shared" si="20"/>
        <v>10</v>
      </c>
      <c r="AL19" s="183">
        <f t="shared" si="20"/>
        <v>27</v>
      </c>
      <c r="AM19" s="183">
        <f t="shared" si="20"/>
        <v>26</v>
      </c>
      <c r="AN19" s="183">
        <f t="shared" si="20"/>
        <v>11</v>
      </c>
      <c r="AO19" s="183">
        <f t="shared" si="20"/>
        <v>6</v>
      </c>
      <c r="AP19" s="183">
        <f t="shared" si="20"/>
        <v>6</v>
      </c>
      <c r="AQ19" s="183">
        <f t="shared" si="20"/>
        <v>6</v>
      </c>
      <c r="AR19" s="183">
        <f t="shared" si="20"/>
        <v>6</v>
      </c>
      <c r="AS19" s="183">
        <f t="shared" si="20"/>
        <v>0</v>
      </c>
      <c r="AT19" s="183">
        <f t="shared" si="20"/>
        <v>0</v>
      </c>
      <c r="AU19" s="203"/>
      <c r="AV19" s="132"/>
      <c r="AW19" s="203"/>
      <c r="AX19" s="132"/>
      <c r="AY19" s="183">
        <f>SUBTOTAL(9,AY14:AY18)</f>
        <v>4682</v>
      </c>
      <c r="AZ19" s="183">
        <f>SUBTOTAL(9,AZ14:AZ18)</f>
        <v>3563</v>
      </c>
      <c r="BA19" s="183">
        <f>SUBTOTAL(9,BA14:BA18)</f>
        <v>3811</v>
      </c>
      <c r="BB19" s="183">
        <f>SUBTOTAL(9,BB14:BB18)</f>
        <v>4515</v>
      </c>
      <c r="BC19" s="183">
        <f>SUBTOTAL(9,BC14:BC18)</f>
        <v>370</v>
      </c>
      <c r="BD19" s="204">
        <f>IF(ISNUMBER(BA19/AZ19),BA19/AZ19," - ")</f>
        <v>1.0696042660679204</v>
      </c>
      <c r="BE19" s="205">
        <f>IF(ISNUMBER(BB19/BA19),BB19/BA19, " - ")</f>
        <v>1.1847284177381265</v>
      </c>
      <c r="BF19" s="205">
        <f>IF(ISNUMBER(BC19/BA19),BC19/BA19, " - ")</f>
        <v>9.7087378640776698E-2</v>
      </c>
      <c r="BG19" s="206">
        <f>IF(ISNUMBER((AY19+AZ19)/BA19),(AY19+AZ19)/BA19," - ")</f>
        <v>2.1634741537654159</v>
      </c>
      <c r="BH19" s="183">
        <f>SUBTOTAL(9,BH14:BH18)</f>
        <v>11</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20859</v>
      </c>
      <c r="J20" s="134">
        <f t="shared" si="23"/>
        <v>6702</v>
      </c>
      <c r="K20" s="134">
        <f t="shared" si="23"/>
        <v>6197</v>
      </c>
      <c r="L20" s="134">
        <f t="shared" si="23"/>
        <v>21387</v>
      </c>
      <c r="M20" s="134">
        <f t="shared" si="23"/>
        <v>902</v>
      </c>
      <c r="N20" s="134">
        <f t="shared" si="23"/>
        <v>3567</v>
      </c>
      <c r="O20" s="134">
        <f t="shared" si="23"/>
        <v>898</v>
      </c>
      <c r="P20" s="134">
        <f t="shared" si="23"/>
        <v>567</v>
      </c>
      <c r="Q20" s="134">
        <f t="shared" si="23"/>
        <v>394</v>
      </c>
      <c r="R20" s="134">
        <f t="shared" si="23"/>
        <v>11683</v>
      </c>
      <c r="S20" s="134">
        <f t="shared" si="23"/>
        <v>18850</v>
      </c>
      <c r="T20" s="134">
        <f t="shared" si="23"/>
        <v>8642</v>
      </c>
      <c r="U20" s="134">
        <f t="shared" si="23"/>
        <v>7072</v>
      </c>
      <c r="V20" s="134">
        <f t="shared" si="23"/>
        <v>20837</v>
      </c>
      <c r="W20" s="134">
        <f t="shared" si="23"/>
        <v>932</v>
      </c>
      <c r="X20" s="134">
        <f t="shared" si="23"/>
        <v>4195</v>
      </c>
      <c r="Y20" s="134">
        <f t="shared" si="23"/>
        <v>328</v>
      </c>
      <c r="Z20" s="134">
        <f t="shared" si="23"/>
        <v>249</v>
      </c>
      <c r="AA20" s="134">
        <f t="shared" si="23"/>
        <v>279</v>
      </c>
      <c r="AB20" s="134">
        <f t="shared" si="23"/>
        <v>298</v>
      </c>
      <c r="AC20" s="134">
        <f t="shared" si="23"/>
        <v>0</v>
      </c>
      <c r="AD20" s="134">
        <f t="shared" si="23"/>
        <v>51</v>
      </c>
      <c r="AE20" s="134">
        <f t="shared" si="23"/>
        <v>51</v>
      </c>
      <c r="AF20" s="134">
        <f t="shared" si="23"/>
        <v>0</v>
      </c>
      <c r="AG20" s="134">
        <f t="shared" si="23"/>
        <v>282</v>
      </c>
      <c r="AH20" s="134">
        <f t="shared" si="23"/>
        <v>238</v>
      </c>
      <c r="AI20" s="134">
        <f t="shared" si="23"/>
        <v>255</v>
      </c>
      <c r="AJ20" s="134">
        <f t="shared" si="23"/>
        <v>263</v>
      </c>
      <c r="AK20" s="134">
        <f t="shared" si="23"/>
        <v>10</v>
      </c>
      <c r="AL20" s="134">
        <f t="shared" si="23"/>
        <v>27</v>
      </c>
      <c r="AM20" s="134">
        <f t="shared" si="23"/>
        <v>26</v>
      </c>
      <c r="AN20" s="209">
        <f t="shared" si="23"/>
        <v>11</v>
      </c>
      <c r="AO20" s="210">
        <v>12</v>
      </c>
      <c r="AP20" s="210">
        <v>12</v>
      </c>
      <c r="AQ20" s="210">
        <v>12</v>
      </c>
      <c r="AR20" s="210">
        <v>12</v>
      </c>
      <c r="AS20" s="152">
        <f t="shared" si="23"/>
        <v>0</v>
      </c>
      <c r="AT20" s="152">
        <f t="shared" si="23"/>
        <v>0</v>
      </c>
      <c r="AU20" s="210"/>
      <c r="AV20" s="211"/>
      <c r="AW20" s="210"/>
      <c r="AX20" s="211"/>
      <c r="AY20" s="133">
        <f>SUBTOTAL(9,AY9:AY19)</f>
        <v>19132</v>
      </c>
      <c r="AZ20" s="134">
        <f>SUBTOTAL(9,AZ9:AZ19)</f>
        <v>8880</v>
      </c>
      <c r="BA20" s="134">
        <f>SUBTOTAL(9,BA9:BA19)</f>
        <v>7327</v>
      </c>
      <c r="BB20" s="134">
        <f>SUBTOTAL(9,BB9:BB19)</f>
        <v>21100</v>
      </c>
      <c r="BC20" s="135">
        <f>SUBTOTAL(9,BC9:BC19)</f>
        <v>2141</v>
      </c>
      <c r="BD20" s="212">
        <f>IF(ISNUMBER(BA20/AZ20),BA20/AZ20," - ")</f>
        <v>0.82511261261261259</v>
      </c>
      <c r="BE20" s="209">
        <f>IF(ISNUMBER(BB20/BA20),BB20/BA20, " - ")</f>
        <v>2.8797597925481098</v>
      </c>
      <c r="BF20" s="209">
        <f>IF(ISNUMBER(BC20/BA20),BC20/BA20, " - ")</f>
        <v>0.29220690596424187</v>
      </c>
      <c r="BG20" s="135">
        <f>IF(ISNUMBER((AY20+AZ20)/BA20),(AY20+AZ20)/BA20," - ")</f>
        <v>3.8231199672444385</v>
      </c>
      <c r="BH20" s="210">
        <f>SUBTOTAL(9,BH9:BH19)</f>
        <v>22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xzIxIXV6wHwzxsRGIbePMTD1/lV3H0EpejabtR0zPVDmVGxVW2UyswSho9NH1PW1ZzLEgvTGNrRJb8jGUQmDA==" saltValue="4+jkoFereF8OEi+b+OvoX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MQ082tEnaKQxQgQxxCBtuaN+MF0BITJ/41d2axfuxOz8f6TzvIE8DM3IOYik8yBDJTHT/8VIl//rQgYUbFVKQ==" saltValue="zHFWNF+qOcACGUtwaUXE0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ARGANDA DEL REY</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6</v>
      </c>
      <c r="B9" s="1275" t="s">
        <v>247</v>
      </c>
      <c r="C9" s="1200" t="str">
        <f>Datos!A9</f>
        <v>Sección Civil del T.I</v>
      </c>
      <c r="D9" s="1276"/>
      <c r="E9" s="1226">
        <f>IF(ISNUMBER(Datos!AQ9),Datos!AQ9," - ")</f>
        <v>6</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228</v>
      </c>
      <c r="O9" s="1247"/>
      <c r="P9" s="1247"/>
      <c r="Q9" s="1215">
        <f>IF(ISNUMBER(Datos!P9),Datos!P9,0)</f>
        <v>281</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153</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192</v>
      </c>
      <c r="AI9" s="1247" t="str">
        <f>IF(ISNUMBER(Datos!CD9),Datos!CD9,"-")</f>
        <v>-</v>
      </c>
      <c r="AJ9" s="1247" t="str">
        <f>IF(ISNUMBER(Datos!EN9),Datos!EN9," - ")</f>
        <v xml:space="preserve"> - </v>
      </c>
      <c r="AK9" s="1247"/>
      <c r="AL9" s="1258"/>
      <c r="AM9" s="1248">
        <f>IF(ISNUMBER(Datos!R9),Datos!R9," - ")</f>
        <v>6599</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321</v>
      </c>
      <c r="BD9" s="1218">
        <f>IF(ISNUMBER(Datos!N9),Datos!N9," - ")</f>
        <v>729</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0.56657420249653256</v>
      </c>
      <c r="BH9" s="1226">
        <f>IF(ISNUMBER(((IF(J_V="SI",Datos!L9/Datos!K9,(Datos!L9+Datos!AB9)/(Datos!K9+Datos!AA9)))*11)/factor_trimestre),((IF(J_V="SI",Datos!L9/Datos!K9,(Datos!L9+Datos!AB9)/(Datos!K9+Datos!AA9)))*11)/factor_trimestre," - ")</f>
        <v>20.194002447980417</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1.9780559418946068E-2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2</v>
      </c>
      <c r="F10" s="1214">
        <f>IF(ISNUMBER(Datos!L10+Datos!K10-Datos!J10),Datos!L10+Datos!K10-Datos!J10," - ")</f>
        <v>139</v>
      </c>
      <c r="G10" s="1246">
        <f>IF(ISNUMBER(Datos!I10),Datos!I10," - ")</f>
        <v>139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7</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42</v>
      </c>
      <c r="AC10" s="1215">
        <f>IF(ISNUMBER(Datos!Q10),Datos!Q10," - ")</f>
        <v>8</v>
      </c>
      <c r="AD10" s="1247"/>
      <c r="AE10" s="1262"/>
      <c r="AF10" s="1245">
        <f>IF(ISNUMBER(Datos!L10),Datos!L10,"-")</f>
        <v>149</v>
      </c>
      <c r="AG10" s="1247"/>
      <c r="AH10" s="1247"/>
      <c r="AI10" s="1247"/>
      <c r="AJ10" s="1247"/>
      <c r="AK10" s="1247"/>
      <c r="AL10" s="1258"/>
      <c r="AM10" s="1248">
        <f>IF(ISNUMBER(Datos!R10),Datos!R10," - ")</f>
        <v>67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19</v>
      </c>
      <c r="BD10" s="1218">
        <f>IF(ISNUMBER(Datos!N10),Datos!N10," - ")</f>
        <v>10</v>
      </c>
      <c r="BE10" s="1218" t="str">
        <f>IF(ISNUMBER(Datos!BW10),Datos!BW10," - ")</f>
        <v xml:space="preserve"> - </v>
      </c>
      <c r="BF10" s="1217" t="str">
        <f>IF(ISNUMBER(Datos!BX10),Datos!BX10," - ")</f>
        <v xml:space="preserve"> - </v>
      </c>
      <c r="BG10" s="1223">
        <f>IF(ISNUMBER(Datos!K10/Datos!J10),Datos!K10/Datos!J10," - ")</f>
        <v>0.80769230769230771</v>
      </c>
      <c r="BH10" s="1226">
        <f>IF(ISNUMBER(((Datos!L10/Datos!K10)*11)/factor_trimestre),((Datos!L10/Datos!K10)*11)/factor_trimestre," - ")</f>
        <v>10.642857142857142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-1.4705882352941176E-2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21</v>
      </c>
      <c r="O12" s="1247"/>
      <c r="P12" s="1247"/>
      <c r="Q12" s="1215">
        <f>IF(ISNUMBER(Datos!P12),Datos!P12,0)</f>
        <v>168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122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106</v>
      </c>
      <c r="AI12" s="1247" t="str">
        <f>IF(ISNUMBER(Datos!CD12),Datos!CD12,"-")</f>
        <v>-</v>
      </c>
      <c r="AJ12" s="1247" t="str">
        <f>IF(ISNUMBER(Datos!EN12),Datos!EN12," - ")</f>
        <v xml:space="preserve"> - </v>
      </c>
      <c r="AK12" s="1247"/>
      <c r="AL12" s="1258"/>
      <c r="AM12" s="1248">
        <f>IF(ISNUMBER(Datos!R12),Datos!R12," - ")</f>
        <v>4454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149</v>
      </c>
      <c r="BD12" s="1218">
        <f>IF(ISNUMBER(Datos!N12),Datos!N12," - ")</f>
        <v>388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5.6373626373626378</v>
      </c>
      <c r="BH12" s="1226">
        <f>IF(ISNUMBER(((IF(J_V="SI",Datos!L12/Datos!K12,(Datos!L12+Datos!AB12)/(Datos!K12+Datos!AA12)))*11)/factor_trimestre),((IF(J_V="SI",Datos!L12/Datos!K12,(Datos!L12+Datos!AB12)/(Datos!K12+Datos!AA12)))*11)/factor_trimestre," - ")</f>
        <v>15.418128654970761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1.0435571687840291E-2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139</v>
      </c>
      <c r="G13" s="1391">
        <f t="shared" si="0"/>
        <v>139</v>
      </c>
      <c r="H13" s="1392">
        <f t="shared" si="0"/>
        <v>0</v>
      </c>
      <c r="I13" s="1391">
        <f t="shared" si="0"/>
        <v>0</v>
      </c>
      <c r="J13" s="1383">
        <f t="shared" si="0"/>
        <v>0</v>
      </c>
      <c r="K13" s="1383">
        <f t="shared" si="0"/>
        <v>0</v>
      </c>
      <c r="L13" s="1392">
        <f t="shared" si="0"/>
        <v>0</v>
      </c>
      <c r="M13" s="1392">
        <f t="shared" si="0"/>
        <v>0</v>
      </c>
      <c r="N13" s="1392">
        <f t="shared" si="0"/>
        <v>249</v>
      </c>
      <c r="O13" s="1393">
        <f t="shared" si="0"/>
        <v>0</v>
      </c>
      <c r="P13" s="1393">
        <f t="shared" si="0"/>
        <v>0</v>
      </c>
      <c r="Q13" s="1392">
        <f t="shared" si="0"/>
        <v>456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42</v>
      </c>
      <c r="AC13" s="1392">
        <f t="shared" si="1"/>
        <v>283</v>
      </c>
      <c r="AD13" s="1392">
        <f t="shared" si="1"/>
        <v>0</v>
      </c>
      <c r="AE13" s="1392">
        <f t="shared" si="1"/>
        <v>0</v>
      </c>
      <c r="AF13" s="1392">
        <f t="shared" si="1"/>
        <v>149</v>
      </c>
      <c r="AG13" s="1392">
        <f t="shared" si="1"/>
        <v>0</v>
      </c>
      <c r="AH13" s="1392">
        <f t="shared" si="1"/>
        <v>298</v>
      </c>
      <c r="AI13" s="1392">
        <f t="shared" si="1"/>
        <v>0</v>
      </c>
      <c r="AJ13" s="1392">
        <f t="shared" si="1"/>
        <v>0</v>
      </c>
      <c r="AK13" s="1392">
        <f t="shared" si="1"/>
        <v>0</v>
      </c>
      <c r="AL13" s="1392">
        <f t="shared" si="1"/>
        <v>0</v>
      </c>
      <c r="AM13" s="1392">
        <f t="shared" si="1"/>
        <v>11120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489</v>
      </c>
      <c r="BD13" s="1392">
        <f t="shared" si="1"/>
        <v>1127</v>
      </c>
      <c r="BE13" s="1392">
        <f t="shared" si="1"/>
        <v>0</v>
      </c>
      <c r="BF13" s="1392">
        <f t="shared" si="1"/>
        <v>0</v>
      </c>
      <c r="BG13" s="1392">
        <f>IF(ISNUMBER(Datos!K13/Datos!J13),Datos!K13/Datos!J13," - ")</f>
        <v>0.84454513767863371</v>
      </c>
      <c r="BH13" s="1396">
        <f>IF(ISNUMBER(((Datos!L13/Datos!K13)*11)/factor_trimestre),((Datos!L13/Datos!K13)*11)/factor_trimestre," - ")</f>
        <v>19.962443252166736</v>
      </c>
      <c r="BI13" s="1392">
        <f>IF(ISNUMBER('Resol  Asuntos'!D13/NºAsuntos!G13),'Resol  Asuntos'!D13/NºAsuntos!G13," - ")</f>
        <v>0.18097705403404885</v>
      </c>
      <c r="BJ13" s="1392" t="str">
        <f>IF(ISNUMBER(Datos!CI13/Datos!CJ13),Datos!CI13/Datos!CJ13," - ")</f>
        <v xml:space="preserve"> - </v>
      </c>
      <c r="BK13" s="1392">
        <f>SUBTOTAL(9,BK8:BK12)</f>
        <v>0</v>
      </c>
      <c r="BL13" s="1392">
        <f>IF(ISNUMBER((I13-AB13+L13)/(F13)),(I13-AB13+L13)/(F13)," - ")</f>
        <v>-0.30215827338129497</v>
      </c>
      <c r="BM13" s="1397">
        <f>SUBTOTAL(9,BM9:BM12)</f>
        <v>1.5510248753845183E-2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397</v>
      </c>
      <c r="C15" s="1337" t="str">
        <f>Datos!A15</f>
        <v xml:space="preserve">Seccion Instruccion Del T.I.                   </v>
      </c>
      <c r="D15" s="1338"/>
      <c r="E15" s="1435">
        <f>IF(ISNUMBER(Datos!AQ15),Datos!AQ15," - ")</f>
        <v>4</v>
      </c>
      <c r="F15" s="1332">
        <f>IF(ISNUMBER(AF15+AB15-Datos!J15-L15),AF15+AB15-Datos!J15-L15," - ")</f>
        <v>1949</v>
      </c>
      <c r="G15" s="1335">
        <f>IF(ISNUMBER(IF(D_I="SI",Datos!I15,Datos!I15+Datos!AC15)),IF(D_I="SI",Datos!I15,Datos!I15+Datos!AC15)," - ")</f>
        <v>1940</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65</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2462</v>
      </c>
      <c r="AC15" s="1215">
        <f>IF(ISNUMBER(Datos!Q15),Datos!Q15," - ")</f>
        <v>45</v>
      </c>
      <c r="AD15" s="1247"/>
      <c r="AE15" s="1262"/>
      <c r="AF15" s="1333">
        <f>IF(ISNUMBER(IF(D_I="SI",Datos!L15,Datos!L15+Datos!AF15)),IF(D_I="SI",Datos!L15,Datos!L15+Datos!AF15)," - ")</f>
        <v>2437</v>
      </c>
      <c r="AG15" s="1247"/>
      <c r="AH15" s="1247"/>
      <c r="AI15" s="1247"/>
      <c r="AJ15" s="1247"/>
      <c r="AK15" s="1247"/>
      <c r="AL15" s="1258"/>
      <c r="AM15" s="1248">
        <f>IF(ISNUMBER(Datos!R15),Datos!R15," - ")</f>
        <v>238</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310</v>
      </c>
      <c r="BD15" s="1218">
        <f>IF(ISNUMBER(Datos!N15),Datos!N15," - ")</f>
        <v>1665</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0.83457627118644073</v>
      </c>
      <c r="BH15" s="1226">
        <f>IF(ISNUMBER(((IF(D_I="SI",Datos!L15/Datos!K15,(Datos!L15+Datos!AF15)/(Datos!K15+Datos!AE15)))*11)/factor_trimestre),((IF(D_I="SI",Datos!L15/Datos!K15,(Datos!L15+Datos!AF15)/(Datos!K15+Datos!AE15)))*11)/factor_trimestre," - ")</f>
        <v>2.9695369618196588</v>
      </c>
      <c r="BI15" s="1223">
        <f>IF(ISNUMBER('Resol  Asuntos'!D15/NºAsuntos!G15),'Resol  Asuntos'!D15/NºAsuntos!G15," - ")</f>
        <v>0.12591389114541024</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f>IF(ISNUMBER(AF17+AB17-Datos!J17-L17),AF17+AB17-Datos!J17-L17," - ")</f>
        <v>2879</v>
      </c>
      <c r="G17" s="1335">
        <f>IF(ISNUMBER(IF(D_I="SI",Datos!I17,Datos!I17+Datos!AC17)),IF(D_I="SI",Datos!I17,Datos!I17+Datos!AC17)," - ")</f>
        <v>2871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638</v>
      </c>
      <c r="AC17" s="1215">
        <f>IF(ISNUMBER(Datos!Q17),Datos!Q17," - ")</f>
        <v>66</v>
      </c>
      <c r="AD17" s="1247"/>
      <c r="AE17" s="1262"/>
      <c r="AF17" s="1333">
        <f>IF(ISNUMBER(IF(D_I="SI",Datos!L17,Datos!L17+Datos!AF17)),IF(D_I="SI",Datos!L17,Datos!L17+Datos!AF17)," - ")</f>
        <v>2496</v>
      </c>
      <c r="AG17" s="1247"/>
      <c r="AH17" s="1247"/>
      <c r="AI17" s="1247"/>
      <c r="AJ17" s="1247"/>
      <c r="AK17" s="1247"/>
      <c r="AL17" s="1258"/>
      <c r="AM17" s="1248">
        <f>IF(ISNUMBER(Datos!R17),Datos!R17," - ")</f>
        <v>315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92</v>
      </c>
      <c r="BD17" s="1218">
        <f>IF(ISNUMBER(Datos!N17),Datos!N17," - ")</f>
        <v>334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2.5019607843137255</v>
      </c>
      <c r="BH17" s="1226">
        <f>IF(ISNUMBER(((IF(D_I="SI",Datos!L17/Datos!K17,(Datos!L17+Datos!AF17)/(Datos!K17+Datos!AE17)))*11)/factor_trimestre),((IF(D_I="SI",Datos!L17/Datos!K17,(Datos!L17+Datos!AF17)/(Datos!K17+Datos!AE17)))*11)/factor_trimestre," - ")</f>
        <v>11.736677115987462</v>
      </c>
      <c r="BI17" s="1223">
        <f>IF(ISNUMBER('Resol  Asuntos'!D17/NºAsuntos!G17),'Resol  Asuntos'!D17/NºAsuntos!G17," - ")</f>
        <v>0.14420062695924765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372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674</v>
      </c>
      <c r="AC18" s="1215">
        <f>IF(ISNUMBER(Datos!Q18),Datos!Q18," - ")</f>
        <v>0</v>
      </c>
      <c r="AD18" s="1247"/>
      <c r="AE18" s="1262"/>
      <c r="AF18" s="1245">
        <f>IF(ISNUMBER(Datos!L18),Datos!L18,"-")</f>
        <v>331</v>
      </c>
      <c r="AG18" s="1247"/>
      <c r="AH18" s="1247"/>
      <c r="AI18" s="1247"/>
      <c r="AJ18" s="1247"/>
      <c r="AK18" s="1247"/>
      <c r="AL18" s="1258"/>
      <c r="AM18" s="1248">
        <f>IF(ISNUMBER(Datos!R18),Datos!R18," - ")</f>
        <v>10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11</v>
      </c>
      <c r="BD18" s="1218">
        <f>IF(ISNUMBER(Datos!N18),Datos!N18," - ")</f>
        <v>441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1.0732484076433122</v>
      </c>
      <c r="BH18" s="1226">
        <f>IF(ISNUMBER(((IF(D_I="SI",Datos!L18/Datos!K18,(Datos!L18+Datos!AF18)/(Datos!K18+Datos!AE18)))*11)/factor_trimestre),((IF(D_I="SI",Datos!L18/Datos!K18,(Datos!L18+Datos!AF18)/(Datos!K18+Datos!AE18)))*11)/factor_trimestre," - ")</f>
        <v>1.4732937685459941</v>
      </c>
      <c r="BI18" s="1223">
        <f>IF(ISNUMBER('Resol  Asuntos'!D18/NºAsuntos!G18),'Resol  Asuntos'!D18/NºAsuntos!G18," - ")</f>
        <v>1.6320474777448073E-2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4828</v>
      </c>
      <c r="G19" s="1391">
        <f>SUBTOTAL(9,G15:G18)</f>
        <v>5183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111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3774</v>
      </c>
      <c r="AC19" s="1392">
        <f t="shared" si="4"/>
        <v>111</v>
      </c>
      <c r="AD19" s="1392">
        <f t="shared" si="4"/>
        <v>0</v>
      </c>
      <c r="AE19" s="1392">
        <f t="shared" si="4"/>
        <v>0</v>
      </c>
      <c r="AF19" s="1392">
        <f t="shared" si="4"/>
        <v>5264</v>
      </c>
      <c r="AG19" s="1392">
        <f t="shared" si="4"/>
        <v>0</v>
      </c>
      <c r="AH19" s="1392">
        <f t="shared" si="4"/>
        <v>0</v>
      </c>
      <c r="AI19" s="1392">
        <f t="shared" si="4"/>
        <v>0</v>
      </c>
      <c r="AJ19" s="1392">
        <f t="shared" si="4"/>
        <v>0</v>
      </c>
      <c r="AK19" s="1392">
        <f t="shared" si="4"/>
        <v>0</v>
      </c>
      <c r="AL19" s="1392">
        <f t="shared" si="4"/>
        <v>0</v>
      </c>
      <c r="AM19" s="1392">
        <f t="shared" si="4"/>
        <v>563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413</v>
      </c>
      <c r="BD19" s="1392">
        <f t="shared" si="4"/>
        <v>2440</v>
      </c>
      <c r="BE19" s="1392">
        <f t="shared" si="4"/>
        <v>0</v>
      </c>
      <c r="BF19" s="1392">
        <f t="shared" si="4"/>
        <v>0</v>
      </c>
      <c r="BG19" s="1392">
        <f>IF(ISNUMBER(Datos!K19/Datos!J19),Datos!K19/Datos!J19," - ")</f>
        <v>0.98460735716149228</v>
      </c>
      <c r="BH19" s="1396">
        <f>IF(ISNUMBER(((Datos!L19/Datos!K19)*11)/factor_trimestre),((Datos!L19/Datos!K19)*11)/factor_trimestre," - ")</f>
        <v>4.1844197138314794</v>
      </c>
      <c r="BI19" s="1392">
        <f>SUBTOTAL(9,BI15:BI18)</f>
        <v>0.286434992882106</v>
      </c>
      <c r="BJ19" s="1392">
        <f>SUBTOTAL(9,BJ15:BJ18)</f>
        <v>0</v>
      </c>
      <c r="BK19" s="1392">
        <f>SUBTOTAL(9,BK15:BK18)</f>
        <v>0</v>
      </c>
      <c r="BL19" s="1392">
        <f>IF(ISNUMBER((I19-AB19+L19)/(F19)),(I19-AB19+L19)/(F19)," - ")</f>
        <v>-0.78169014084507038</v>
      </c>
      <c r="BM19" s="1398">
        <f>IF(ISNUMBER((Datos!P19-Datos!Q19)/(Datos!R19-Datos!P19+Datos!Q19)),(Datos!P19-Datos!Q19)/(Datos!R19-Datos!P19+Datos!Q19)," - ")</f>
        <v>0</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14</v>
      </c>
      <c r="F20" s="1367">
        <f t="shared" si="6"/>
        <v>4967</v>
      </c>
      <c r="G20" s="1367">
        <f t="shared" si="6"/>
        <v>5322</v>
      </c>
      <c r="H20" s="1369">
        <f t="shared" si="6"/>
        <v>0</v>
      </c>
      <c r="I20" s="1367">
        <f t="shared" si="6"/>
        <v>0</v>
      </c>
      <c r="J20" s="1369">
        <f t="shared" si="6"/>
        <v>0</v>
      </c>
      <c r="K20" s="1369">
        <f t="shared" si="6"/>
        <v>0</v>
      </c>
      <c r="L20" s="1386">
        <f t="shared" si="6"/>
        <v>0</v>
      </c>
      <c r="M20" s="1386">
        <f t="shared" si="6"/>
        <v>0</v>
      </c>
      <c r="N20" s="1386">
        <f t="shared" si="6"/>
        <v>249</v>
      </c>
      <c r="O20" s="1386">
        <f t="shared" si="6"/>
        <v>0</v>
      </c>
      <c r="P20" s="1386">
        <f t="shared" si="6"/>
        <v>0</v>
      </c>
      <c r="Q20" s="1369">
        <f t="shared" si="6"/>
        <v>567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3816</v>
      </c>
      <c r="AC20" s="1368">
        <f t="shared" si="7"/>
        <v>394</v>
      </c>
      <c r="AD20" s="1368">
        <f t="shared" si="7"/>
        <v>0</v>
      </c>
      <c r="AE20" s="1368">
        <f t="shared" si="7"/>
        <v>0</v>
      </c>
      <c r="AF20" s="1371">
        <f t="shared" si="7"/>
        <v>5413</v>
      </c>
      <c r="AG20" s="1371">
        <f t="shared" si="7"/>
        <v>0</v>
      </c>
      <c r="AH20" s="1371">
        <f t="shared" si="7"/>
        <v>298</v>
      </c>
      <c r="AI20" s="1371">
        <f t="shared" si="7"/>
        <v>0</v>
      </c>
      <c r="AJ20" s="1368">
        <f t="shared" si="7"/>
        <v>0</v>
      </c>
      <c r="AK20" s="1371">
        <f t="shared" si="7"/>
        <v>0</v>
      </c>
      <c r="AL20" s="1371">
        <f t="shared" si="7"/>
        <v>0</v>
      </c>
      <c r="AM20" s="1371">
        <f t="shared" si="7"/>
        <v>11683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902</v>
      </c>
      <c r="BD20" s="1367">
        <f t="shared" si="7"/>
        <v>3567</v>
      </c>
      <c r="BE20" s="1367">
        <f t="shared" si="7"/>
        <v>0</v>
      </c>
      <c r="BF20" s="1373">
        <f t="shared" si="7"/>
        <v>0</v>
      </c>
      <c r="BG20" s="1404">
        <f>IF(ISNUMBER(Datos!K20/Datos!J20),Datos!K20/Datos!J20," - ")</f>
        <v>0.92464935840047746</v>
      </c>
      <c r="BH20" s="1404">
        <f>IF(ISNUMBER(((Datos!L20/Datos!K20)*11)/factor_trimestre),((Datos!L20/Datos!K20)*11)/factor_trimestre," - ")</f>
        <v>10.353558173309667</v>
      </c>
      <c r="BI20" s="1362">
        <f>IF(ISNUMBER(Datos!J20/Datos!I20),Datos!J20/Datos!I20," - ")</f>
        <v>0.32130015820509134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-0.76827058586672037</v>
      </c>
      <c r="BM20" s="1387">
        <f>IF(ISNUMBER((Datos!P20-Datos!Q20+R20)/(Datos!R20-Datos!P20+Datos!Q20-R20)),(Datos!P20-Datos!Q20+R20)/(Datos!R20-Datos!P20+Datos!Q20-R20)," - ")</f>
        <v>1.5030408340573415E-2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1774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3.011090610836324</v>
      </c>
      <c r="F22" s="1298">
        <f>IF(ISNUMBER(STDEV(F8:F19)),STDEV(F8:F19),"-")</f>
        <v>1981.0727397044259</v>
      </c>
      <c r="G22" s="1299">
        <f>IF(ISNUMBER(STDEV(G8:G19)),STDEV(G8:G19),"-")</f>
        <v>2008.1981973898892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1514.0319679584047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182.51262187272732</v>
      </c>
      <c r="BD22" s="1298"/>
      <c r="BE22" s="1298">
        <f>IF(ISNUMBER(STDEV(BE8:BE19)),STDEV(BE8:BE19),"-")</f>
        <v>0</v>
      </c>
      <c r="BF22" s="1303">
        <f>IF(ISNUMBER(STDEV(BF8:BF19)),STDEV(BF8:BF19),"-")</f>
        <v>0</v>
      </c>
      <c r="BG22" s="1360">
        <f>IF(ISNUMBER(STDEV(BG8:BG19)),STDEV(BG8:BG19),"-")</f>
        <v>1.7153481620450524</v>
      </c>
      <c r="BH22" s="1361">
        <f>IF(ISNUMBER(STDEV(BH8:BH19)),STDEV(BH8:BH19),"-")</f>
        <v>7.4305567006138462</v>
      </c>
      <c r="BI22" s="1224">
        <f>IF(ISNUMBER(STDEV(BI8:BI19)),STDEV(BI8:BI19),"-")</f>
        <v>9.7538600112307666E-2</v>
      </c>
      <c r="BJ22" s="1219" t="str">
        <f>IF(ISNUMBER(BL22/BM22),BL22/BM22," - ")</f>
        <v xml:space="preserve"> - </v>
      </c>
      <c r="BK22" s="1320"/>
      <c r="BL22" s="1306">
        <f>IF(ISNUMBER(STDEV(BL8:BL19)),STDEV(BL8:BL19),"-")</f>
        <v>0.33908023527868431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C5SOyn0slWeUWcVjWCs3cwF/2Cer0JszG91JHPVbJQtnZTdhAfmPsLTc7RmAVJ5iBcbJm3WfulbBbtwoRW7PeA==" saltValue="FWuCrDIY+UjQfNOT5Y5O4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ARGANDA DEL REY</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281</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153</v>
      </c>
      <c r="AA9" s="331" t="str">
        <f>IF(ISNUMBER(IF(J_V="SI",Datos!L9,Datos!L9+Datos!AB9)-IF(Monitorios="SI",Datos!CD9,0)),
                          IF(J_V="SI",Datos!L9,Datos!L9+Datos!AB9)-IF(Monitorios="SI",Datos!CD9,0),
                          " - ")</f>
        <v xml:space="preserve"> - </v>
      </c>
      <c r="AB9" s="333"/>
      <c r="AC9" s="333"/>
      <c r="AD9" s="483"/>
      <c r="AE9" s="483">
        <f>IF(ISNUMBER(Datos!R9),Datos!R9," - ")</f>
        <v>6599</v>
      </c>
      <c r="AF9" s="228" t="str">
        <f>IF(ISNUMBER(Datos!BV9),Datos!BV9," - ")</f>
        <v xml:space="preserve"> - </v>
      </c>
      <c r="AG9" s="224" t="str">
        <f>IF(ISNUMBER(Datos!DV9),Datos!DV9," - ")</f>
        <v xml:space="preserve"> - </v>
      </c>
      <c r="AH9" s="297"/>
      <c r="AI9" s="226"/>
      <c r="AJ9" s="224">
        <f>IF(ISNUMBER(Datos!M9),Datos!M9," - ")</f>
        <v>321</v>
      </c>
      <c r="AK9" s="228">
        <f>IF(ISNUMBER(Datos!N9),Datos!N9," - ")</f>
        <v>729</v>
      </c>
      <c r="AL9" s="228" t="str">
        <f>IF(ISNUMBER(Datos!BW9),Datos!BW9," - ")</f>
        <v xml:space="preserve"> - </v>
      </c>
      <c r="AM9" s="227" t="str">
        <f>IF(ISNUMBER(Datos!BX9),Datos!BX9," - ")</f>
        <v xml:space="preserve"> - </v>
      </c>
      <c r="AN9" s="242"/>
      <c r="AO9" s="259">
        <f>IF(ISNUMBER(((NºAsuntos!I9/NºAsuntos!G9)*11)/factor_trimestre),((NºAsuntos!I9/NºAsuntos!G9)*11)/factor_trimestre," - ")</f>
        <v>20.194002447980417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1.9780559418946068E-2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2</v>
      </c>
      <c r="F10" s="224">
        <f>IF(ISNUMBER(Datos!L10+Datos!K10-Datos!J10),Datos!L10+Datos!K10-Datos!J10," - ")</f>
        <v>139</v>
      </c>
      <c r="G10" s="224">
        <f>IF(ISNUMBER(Datos!I10),Datos!I10," - ")</f>
        <v>139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7</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42</v>
      </c>
      <c r="Z10" s="617">
        <f>IF(ISNUMBER(Datos!Q10),Datos!Q10," - ")</f>
        <v>8</v>
      </c>
      <c r="AA10" s="331">
        <f>IF(ISNUMBER(Datos!L10),Datos!L10,"-")</f>
        <v>149</v>
      </c>
      <c r="AB10" s="333"/>
      <c r="AC10" s="333"/>
      <c r="AD10" s="483"/>
      <c r="AE10" s="483">
        <f>IF(ISNUMBER(Datos!R10),Datos!R10," - ")</f>
        <v>67</v>
      </c>
      <c r="AF10" s="228" t="str">
        <f>IF(ISNUMBER(Datos!BV10),Datos!BV10," - ")</f>
        <v xml:space="preserve"> - </v>
      </c>
      <c r="AG10" s="224" t="str">
        <f>IF(ISNUMBER(Datos!DV10),Datos!DV10," - ")</f>
        <v xml:space="preserve"> - </v>
      </c>
      <c r="AH10" s="297"/>
      <c r="AI10" s="226"/>
      <c r="AJ10" s="224">
        <f>IF(ISNUMBER(Datos!M10),Datos!M10," - ")</f>
        <v>19</v>
      </c>
      <c r="AK10" s="228">
        <f>IF(ISNUMBER(Datos!N10),Datos!N10," - ")</f>
        <v>10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10.642857142857142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-1.4705882352941176E-2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122</v>
      </c>
      <c r="AA12" s="331" t="str">
        <f>IF(ISNUMBER(IF(J_V="SI",Datos!L12,Datos!L12+Datos!AB12)-IF(Monitorios="SI",Datos!CD12,0)),
                          IF(J_V="SI",Datos!L12,Datos!L12+Datos!AB12)-IF(Monitorios="SI",Datos!CD12,0),
                          " - ")</f>
        <v xml:space="preserve"> - </v>
      </c>
      <c r="AB12" s="333"/>
      <c r="AC12" s="333"/>
      <c r="AD12" s="483"/>
      <c r="AE12" s="483">
        <f>IF(ISNUMBER(Datos!R12),Datos!R12," - ")</f>
        <v>4454</v>
      </c>
      <c r="AF12" s="228" t="str">
        <f>IF(ISNUMBER(Datos!BV12),Datos!BV12," - ")</f>
        <v xml:space="preserve"> - </v>
      </c>
      <c r="AG12" s="224" t="str">
        <f>IF(ISNUMBER(Datos!DV12),Datos!DV12," - ")</f>
        <v xml:space="preserve"> - </v>
      </c>
      <c r="AH12" s="297"/>
      <c r="AI12" s="226"/>
      <c r="AJ12" s="224">
        <f>IF(ISNUMBER(Datos!M12),Datos!M12," - ")</f>
        <v>149</v>
      </c>
      <c r="AK12" s="228">
        <f>IF(ISNUMBER(Datos!N12),Datos!N12," - ")</f>
        <v>388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15.418128654970761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1.0435571687840291E-2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139</v>
      </c>
      <c r="G13" s="895">
        <f>SUBTOTAL(9,G8:G12)</f>
        <v>139</v>
      </c>
      <c r="H13" s="905"/>
      <c r="I13" s="895">
        <f t="shared" ref="I13:N13" si="0">SUBTOTAL(9,I8:I12)</f>
        <v>0</v>
      </c>
      <c r="J13" s="864">
        <f t="shared" si="0"/>
        <v>0</v>
      </c>
      <c r="K13" s="905">
        <f t="shared" si="0"/>
        <v>0</v>
      </c>
      <c r="L13" s="905">
        <f t="shared" si="0"/>
        <v>0</v>
      </c>
      <c r="M13" s="905">
        <f t="shared" si="0"/>
        <v>0</v>
      </c>
      <c r="N13" s="905">
        <f t="shared" si="0"/>
        <v>456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42</v>
      </c>
      <c r="Z13" s="904">
        <f t="shared" si="2"/>
        <v>283</v>
      </c>
      <c r="AA13" s="897">
        <f t="shared" si="2"/>
        <v>149</v>
      </c>
      <c r="AB13" s="897">
        <f t="shared" si="2"/>
        <v>0</v>
      </c>
      <c r="AC13" s="897">
        <f t="shared" si="2"/>
        <v>0</v>
      </c>
      <c r="AD13" s="897">
        <f t="shared" si="2"/>
        <v>0</v>
      </c>
      <c r="AE13" s="897">
        <f t="shared" si="2"/>
        <v>11120</v>
      </c>
      <c r="AF13" s="905">
        <f t="shared" si="2"/>
        <v>0</v>
      </c>
      <c r="AG13" s="905">
        <f t="shared" si="2"/>
        <v>0</v>
      </c>
      <c r="AH13" s="905">
        <f t="shared" si="2"/>
        <v>0</v>
      </c>
      <c r="AI13" s="905">
        <f t="shared" si="2"/>
        <v>0</v>
      </c>
      <c r="AJ13" s="905">
        <f t="shared" si="2"/>
        <v>489</v>
      </c>
      <c r="AK13" s="905">
        <f t="shared" si="2"/>
        <v>1127</v>
      </c>
      <c r="AL13" s="905">
        <f t="shared" si="2"/>
        <v>0</v>
      </c>
      <c r="AM13" s="905">
        <f t="shared" si="2"/>
        <v>0</v>
      </c>
      <c r="AN13" s="905">
        <f t="shared" si="2"/>
        <v>0</v>
      </c>
      <c r="AO13" s="901">
        <f>IF(ISNUMBER(((NºAsuntos!I13/NºAsuntos!G13)*11)/factor_trimestre),((NºAsuntos!I13/NºAsuntos!G13)*11)/factor_trimestre," - ")</f>
        <v>18.232050333086601</v>
      </c>
      <c r="AP13" s="907" t="str">
        <f>IF(ISNUMBER(Datos!CI13/Datos!CJ13),Datos!CI13/Datos!CJ13," - ")</f>
        <v xml:space="preserve"> - </v>
      </c>
      <c r="AQ13" s="923">
        <f t="shared" ref="AQ13:AV13" si="3">SUBTOTAL(9,AQ9:AQ12)</f>
        <v>0</v>
      </c>
      <c r="AR13" s="923">
        <f t="shared" si="3"/>
        <v>1.5510248753845183E-2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397</v>
      </c>
      <c r="C15" s="159" t="str">
        <f>Datos!A15</f>
        <v xml:space="preserve">Seccion Instruccion Del T.I.                   </v>
      </c>
      <c r="D15" s="501"/>
      <c r="E15" s="1163">
        <f>IF(ISNUMBER(Datos!AQ15),Datos!AQ15," - ")</f>
        <v>4</v>
      </c>
      <c r="F15" s="332">
        <f>IF(ISNUMBER(AA15+Y15-Datos!J15-K15),AA15+Y15-Datos!J15-K15," - ")</f>
        <v>1949</v>
      </c>
      <c r="G15" s="224">
        <f>IF(ISNUMBER(IF(D_I="SI",Datos!I15,Datos!I15+Datos!AC15)),IF(D_I="SI",Datos!I15,Datos!I15+Datos!AC15)," - ")</f>
        <v>1940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65</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2462</v>
      </c>
      <c r="Z15" s="617">
        <f>IF(ISNUMBER(Datos!Q15),Datos!Q15," - ")</f>
        <v>45</v>
      </c>
      <c r="AA15" s="331">
        <f>IF(ISNUMBER(IF(D_I="SI",Datos!L15,Datos!L15+Datos!AF15)),IF(D_I="SI",Datos!L15,Datos!L15+Datos!AF15)," - ")</f>
        <v>2437</v>
      </c>
      <c r="AB15" s="333"/>
      <c r="AC15" s="333"/>
      <c r="AD15" s="483"/>
      <c r="AE15" s="483">
        <f>IF(ISNUMBER(Datos!R15),Datos!R15," - ")</f>
        <v>238</v>
      </c>
      <c r="AF15" s="228" t="str">
        <f>IF(ISNUMBER(Datos!BV15),Datos!BV15," - ")</f>
        <v xml:space="preserve"> - </v>
      </c>
      <c r="AG15" s="224"/>
      <c r="AH15" s="297"/>
      <c r="AI15" s="226"/>
      <c r="AJ15" s="224">
        <f>IF(ISNUMBER(Datos!M15),Datos!M15," - ")</f>
        <v>310</v>
      </c>
      <c r="AK15" s="228">
        <f>IF(ISNUMBER(Datos!N15),Datos!N15," - ")</f>
        <v>1665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2.9695369618196588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f>IF(ISNUMBER(AA17+Y17-Datos!J17-K15),AA17+Y17-Datos!J17-K15," - ")</f>
        <v>2879</v>
      </c>
      <c r="G17" s="224">
        <f>IF(ISNUMBER(IF(D_I="SI",Datos!I17,Datos!I17+Datos!AC17)),IF(D_I="SI",Datos!I17,Datos!I17+Datos!AC17)," - ")</f>
        <v>2871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638</v>
      </c>
      <c r="Z17" s="617">
        <f>IF(ISNUMBER(Datos!Q17),Datos!Q17," - ")</f>
        <v>66</v>
      </c>
      <c r="AA17" s="331">
        <f>IF(ISNUMBER(IF(D_I="SI",Datos!L17,Datos!L17+Datos!AF17)),IF(D_I="SI",Datos!L17,Datos!L17+Datos!AF17)," - ")</f>
        <v>2496</v>
      </c>
      <c r="AB17" s="333"/>
      <c r="AC17" s="333"/>
      <c r="AD17" s="483"/>
      <c r="AE17" s="483">
        <f>IF(ISNUMBER(Datos!R17),Datos!R17," - ")</f>
        <v>315</v>
      </c>
      <c r="AF17" s="228" t="str">
        <f>IF(ISNUMBER(Datos!BV17),Datos!BV17," - ")</f>
        <v xml:space="preserve"> - </v>
      </c>
      <c r="AG17" s="224"/>
      <c r="AH17" s="297"/>
      <c r="AI17" s="226"/>
      <c r="AJ17" s="224">
        <f>IF(ISNUMBER(Datos!M17),Datos!M17," - ")</f>
        <v>92</v>
      </c>
      <c r="AK17" s="228">
        <f>IF(ISNUMBER(Datos!N17),Datos!N17," - ")</f>
        <v>334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11.736677115987462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372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674</v>
      </c>
      <c r="Z18" s="617">
        <f>IF(ISNUMBER(Datos!Q18),Datos!Q18," - ")</f>
        <v>0</v>
      </c>
      <c r="AA18" s="331">
        <f>IF(ISNUMBER(Datos!L18),Datos!L18,"-")</f>
        <v>331</v>
      </c>
      <c r="AB18" s="333"/>
      <c r="AC18" s="333"/>
      <c r="AD18" s="483"/>
      <c r="AE18" s="483">
        <f>IF(ISNUMBER(Datos!R18),Datos!R18," - ")</f>
        <v>10</v>
      </c>
      <c r="AF18" s="228" t="str">
        <f>IF(ISNUMBER(Datos!BV18),Datos!BV18," - ")</f>
        <v xml:space="preserve"> - </v>
      </c>
      <c r="AG18" s="224" t="str">
        <f>IF(ISNUMBER(Datos!DV18),Datos!DV18," - ")</f>
        <v xml:space="preserve"> - </v>
      </c>
      <c r="AH18" s="297"/>
      <c r="AI18" s="226"/>
      <c r="AJ18" s="224">
        <f>IF(ISNUMBER(Datos!M18),Datos!M18," - ")</f>
        <v>11</v>
      </c>
      <c r="AK18" s="228">
        <f>IF(ISNUMBER(Datos!N18),Datos!N18," - ")</f>
        <v>441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1.4732937685459941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4828</v>
      </c>
      <c r="G19" s="895">
        <f>SUBTOTAL(9,G15:G18)</f>
        <v>5183</v>
      </c>
      <c r="H19" s="927">
        <f>SUBTOTAL(9,H15:H18)</f>
        <v>0</v>
      </c>
      <c r="I19" s="908">
        <f>SUBTOTAL(9,I15:I18)</f>
        <v>0</v>
      </c>
      <c r="J19" s="864">
        <f>SUBTOTAL(9,J14:J18)</f>
        <v>0</v>
      </c>
      <c r="K19" s="927">
        <f t="shared" ref="K19:S19" si="4">SUBTOTAL(9,K15:K18)</f>
        <v>0</v>
      </c>
      <c r="L19" s="927">
        <f t="shared" si="4"/>
        <v>0</v>
      </c>
      <c r="M19" s="927">
        <f t="shared" si="4"/>
        <v>0</v>
      </c>
      <c r="N19" s="927">
        <f t="shared" si="4"/>
        <v>111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3774</v>
      </c>
      <c r="Z19" s="927">
        <f t="shared" si="5"/>
        <v>111</v>
      </c>
      <c r="AA19" s="927">
        <f t="shared" si="5"/>
        <v>5264</v>
      </c>
      <c r="AB19" s="927">
        <f t="shared" si="5"/>
        <v>0</v>
      </c>
      <c r="AC19" s="927">
        <f t="shared" si="5"/>
        <v>0</v>
      </c>
      <c r="AD19" s="927">
        <f t="shared" si="5"/>
        <v>0</v>
      </c>
      <c r="AE19" s="927">
        <f t="shared" si="5"/>
        <v>563</v>
      </c>
      <c r="AF19" s="927">
        <f t="shared" si="5"/>
        <v>0</v>
      </c>
      <c r="AG19" s="927">
        <f t="shared" si="5"/>
        <v>0</v>
      </c>
      <c r="AH19" s="927">
        <f t="shared" si="5"/>
        <v>0</v>
      </c>
      <c r="AI19" s="927">
        <f t="shared" si="5"/>
        <v>0</v>
      </c>
      <c r="AJ19" s="927">
        <f t="shared" si="5"/>
        <v>413</v>
      </c>
      <c r="AK19" s="927">
        <f t="shared" si="5"/>
        <v>2440</v>
      </c>
      <c r="AL19" s="927">
        <f t="shared" si="5"/>
        <v>0</v>
      </c>
      <c r="AM19" s="927">
        <f t="shared" si="5"/>
        <v>0</v>
      </c>
      <c r="AN19" s="927">
        <f t="shared" si="5"/>
        <v>0</v>
      </c>
      <c r="AO19" s="929">
        <f>IF(ISNUMBER(((NºAsuntos!I19/NºAsuntos!G19)*11)/factor_trimestre),((NºAsuntos!I19/NºAsuntos!G19)*11)/factor_trimestre," - ")</f>
        <v>4.1844197138314794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14</v>
      </c>
      <c r="F20" s="817">
        <f t="shared" si="7"/>
        <v>4967</v>
      </c>
      <c r="G20" s="817">
        <f t="shared" si="7"/>
        <v>5322</v>
      </c>
      <c r="H20" s="818">
        <f t="shared" si="7"/>
        <v>0</v>
      </c>
      <c r="I20" s="817">
        <f t="shared" si="7"/>
        <v>0</v>
      </c>
      <c r="J20" s="819">
        <f t="shared" si="7"/>
        <v>0</v>
      </c>
      <c r="K20" s="817">
        <f t="shared" si="7"/>
        <v>0</v>
      </c>
      <c r="L20" s="820">
        <f t="shared" si="7"/>
        <v>0</v>
      </c>
      <c r="M20" s="817">
        <f t="shared" si="7"/>
        <v>0</v>
      </c>
      <c r="N20" s="818">
        <f t="shared" si="7"/>
        <v>567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3816</v>
      </c>
      <c r="Z20" s="824">
        <f t="shared" si="8"/>
        <v>394</v>
      </c>
      <c r="AA20" s="825">
        <f t="shared" si="8"/>
        <v>5413</v>
      </c>
      <c r="AB20" s="825">
        <f t="shared" si="8"/>
        <v>0</v>
      </c>
      <c r="AC20" s="825">
        <f t="shared" si="8"/>
        <v>0</v>
      </c>
      <c r="AD20" s="826">
        <f t="shared" si="8"/>
        <v>0</v>
      </c>
      <c r="AE20" s="826">
        <f t="shared" si="8"/>
        <v>11683</v>
      </c>
      <c r="AF20" s="827">
        <f t="shared" si="8"/>
        <v>0</v>
      </c>
      <c r="AG20" s="828">
        <f t="shared" si="8"/>
        <v>0</v>
      </c>
      <c r="AH20" s="829">
        <f t="shared" si="8"/>
        <v>0</v>
      </c>
      <c r="AI20" s="827">
        <f t="shared" si="8"/>
        <v>0</v>
      </c>
      <c r="AJ20" s="817">
        <f t="shared" si="8"/>
        <v>902</v>
      </c>
      <c r="AK20" s="817">
        <f t="shared" si="8"/>
        <v>3567</v>
      </c>
      <c r="AL20" s="817">
        <f t="shared" si="8"/>
        <v>0</v>
      </c>
      <c r="AM20" s="830">
        <f t="shared" si="8"/>
        <v>0</v>
      </c>
      <c r="AN20" s="820">
        <f>IF(ISNUMBER(Datos!K20/Datos!J20),Datos!K20/Datos!J20," - ")</f>
        <v>0.92464935840047746</v>
      </c>
      <c r="AO20" s="820">
        <f>IF(ISNUMBER(FIND("06",Criterios!A8,1)),(IF(ISNUMBER(((Datos!R20/Datos!Q20)*11)/factor_trimestre),((Datos!R20/Datos!Q20)*11)/factor_trimestre," - ")),(IF(ISNUMBER(((Datos!L20/Datos!K20)*11)/factor_trimestre),((Datos!L20/Datos!K20)*11)/factor_trimestre," - ")))</f>
        <v>10.353558173309667</v>
      </c>
      <c r="AP20" s="831" t="str">
        <f>IF(ISNUMBER(Datos!CI20/Datos!CJ20),Datos!CI20/Datos!CJ20," - ")</f>
        <v xml:space="preserve"> - </v>
      </c>
      <c r="AQ20" s="831">
        <f>IF(OR(ISNUMBER(FIND("01",Criterios!A8,1)),ISNUMBER(FIND("02",Criterios!A8,1)),ISNUMBER(FIND("03",Criterios!A8,1)),ISNUMBER(FIND("04",Criterios!A8,1))),(J20-Y20+K20)/(F20-K20),(I20-Y20+K20)/(F20-K20))</f>
        <v>-0.76827058586672037</v>
      </c>
      <c r="AR20" s="831">
        <f>IF(ISNUMBER((Datos!P20-Datos!Q20+O20)/(Datos!R20-Datos!P20+Datos!Q20-O20)),(Datos!P20-Datos!Q20+O20)/(Datos!R20-Datos!P20+Datos!Q20-O20)," - ")</f>
        <v>1.5030408340573415E-2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1774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1981.0727397044259</v>
      </c>
      <c r="G22" s="551">
        <f>IF(ISNUMBER(STDEV(G8:G19)),STDEV(G8:G19),"-")</f>
        <v>2008.1981973898892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182.51262187272732</v>
      </c>
      <c r="AK22" s="251"/>
      <c r="AL22" s="251">
        <f>IF(ISNUMBER(STDEV(AL8:AL19)),STDEV(AL8:AL19),"-")</f>
        <v>0</v>
      </c>
      <c r="AM22" s="253">
        <f>IF(ISNUMBER(STDEV(AM8:AM19)),STDEV(AM8:AM19),"-")</f>
        <v>0</v>
      </c>
      <c r="AN22" s="538">
        <f>IF(ISNUMBER(STDEV(AN8:AN19)),STDEV(AN8:AN19),"-")</f>
        <v>0</v>
      </c>
      <c r="AO22" s="539">
        <f>IF(ISNUMBER(STDEV(AO8:AO19)),STDEV(AO8:AO19),"-")</f>
        <v>7.1462416608045531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K9NfUoeuaf7JhwKy7hDQt68sYJ0Wuuf+wUWyyKzx0kZb47Q5wkab+JkUly4pynXbrOSRKNTqhwNsmTt0kO/tFw==" saltValue="fwTRePwfglApK9/z7XrM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lOHxVUDJzTCxSukA/wsLF8q9t3OILUnXbeCDTIDGdSnx3I6U/oe/bcjGpKhdU7oCFUMIFZ5uiog1ULRGt79HPA==" saltValue="ESbC8RuRGbkaDqV4KcMr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2EBtaNqKOqZrK9WrOPK4GoE7aCkSUYVMBBSwqmADwi3pYZsUuZetxOenuHgLTkxYEA6AeFXkmWSPOl5Zs5AtEQ==" saltValue="OVf0Rbtlx9FWn25qtgG7e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ARGANDA DEL REY</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0.18097705403404885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0.12797010214664017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4fPxP8PIFLQfzAmgcFLfHSJSP3VToZfH1fRabfogDmjtDIK+VhLAPjcrXDv8R4xUok9jlc7KUuIcEFYCfow6tA==" saltValue="S7RQkBHn5W+VVLHzG4EZE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tyaL3x065LcyuGGb9z2HlxaeOZ3xCeAa+C6NwHUe2lFnpfpFkGLxLeFACfffMXaCkkGqNUHjZR2BvFTu0YpS0g==" saltValue="isC4EowMxGtbdf4buHik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ARGANDA DEL REY</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6</v>
      </c>
      <c r="C9" s="402">
        <f>IF(ISNUMBER(IF(J_V="SI",Datos!I9,Datos!I9+Datos!Y9)),IF(J_V="SI",Datos!I9,Datos!I9+Datos!Y9)," - ")</f>
        <v>9749</v>
      </c>
      <c r="D9" s="403" t="str">
        <f>IF(ISNUMBER(C9/Datos!BH9),C9/Datos!BH9," - ")</f>
        <v xml:space="preserve"> - </v>
      </c>
      <c r="E9" s="402">
        <f>IF(ISNUMBER(IF(J_V="SI",Datos!J9,Datos!J9+Datos!Z9)),IF(J_V="SI",Datos!J9,Datos!J9+Datos!Z9)," - ")</f>
        <v>2884</v>
      </c>
      <c r="F9" s="403">
        <f>IF(ISNUMBER(E9/B9),E9/B9," - ")</f>
        <v>480.66666666666669</v>
      </c>
      <c r="G9" s="402">
        <f>IF(ISNUMBER(IF(J_V="SI",Datos!K9,Datos!K9+Datos!AA9)),IF(J_V="SI",Datos!K9,Datos!K9+Datos!AA9)," - ")</f>
        <v>1634</v>
      </c>
      <c r="H9" s="403">
        <f>IF(ISNUMBER(G9/B9),G9/B9," - ")</f>
        <v>272.33333333333331</v>
      </c>
      <c r="I9" s="402">
        <f>IF(ISNUMBER(IF(J_V="SI",Datos!L9,Datos!L9+Datos!AB9)),IF(J_V="SI",Datos!L9,Datos!L9+Datos!AB9)," - ")</f>
        <v>10999</v>
      </c>
      <c r="J9" s="403">
        <f>IF(ISNUMBER(I9/B9),I9/B9," - ")</f>
        <v>1833.1666666666667</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139</v>
      </c>
      <c r="D10" s="403">
        <f>IF(ISNUMBER(C10/Datos!BH10),C10/Datos!BH10," - ")</f>
        <v>139</v>
      </c>
      <c r="E10" s="402">
        <f>IF(ISNUMBER(Datos!J10),Datos!J10," - ")</f>
        <v>52</v>
      </c>
      <c r="F10" s="403">
        <f>IF(ISNUMBER(E10/B10),E10/B10," - ")</f>
        <v>26</v>
      </c>
      <c r="G10" s="402">
        <f>IF(ISNUMBER(Datos!K10),Datos!K10," - ")</f>
        <v>42</v>
      </c>
      <c r="H10" s="403">
        <f>IF(ISNUMBER(G10/B10),G10/B10," - ")</f>
        <v>21</v>
      </c>
      <c r="I10" s="402">
        <f>IF(ISNUMBER(Datos!L10),Datos!L10," - ")</f>
        <v>149</v>
      </c>
      <c r="J10" s="403">
        <f>IF(ISNUMBER(I10/B10),I10/B10," - ")</f>
        <v>74.5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f>IF(ISNUMBER(IF(J_V="SI",Datos!I12,Datos!I12+Datos!Y12)),IF(J_V="SI",Datos!I12,Datos!I12+Datos!Y12)," - ")</f>
        <v>6116</v>
      </c>
      <c r="D12" s="403">
        <f>IF(ISNUMBER(C12/Datos!BH12),C12/Datos!BH12," - ")</f>
        <v>611.6</v>
      </c>
      <c r="E12" s="402">
        <f>IF(ISNUMBER(IF(J_V="SI",Datos!J12,Datos!J12+Datos!Z12)),IF(J_V="SI",Datos!J12,Datos!J12+Datos!Z12)," - ")</f>
        <v>182</v>
      </c>
      <c r="F12" s="403" t="str">
        <f>IF(ISNUMBER(E12/B12),E12/B12," - ")</f>
        <v xml:space="preserve"> - </v>
      </c>
      <c r="G12" s="402">
        <f>IF(ISNUMBER(IF(J_V="SI",Datos!K12,Datos!K12+Datos!AA12)),IF(J_V="SI",Datos!K12,Datos!K12+Datos!AA12)," - ")</f>
        <v>1026</v>
      </c>
      <c r="H12" s="403" t="str">
        <f>IF(ISNUMBER(G12/B12),G12/B12," - ")</f>
        <v xml:space="preserve"> - </v>
      </c>
      <c r="I12" s="402">
        <f>IF(ISNUMBER(IF(J_V="SI",Datos!L12,Datos!L12+Datos!AB12)),IF(J_V="SI",Datos!L12,Datos!L12+Datos!AB12)," - ")</f>
        <v>5273</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8</v>
      </c>
      <c r="C13" s="846">
        <f>SUBTOTAL(9,C8:C12)</f>
        <v>16004</v>
      </c>
      <c r="D13" s="847" t="str">
        <f>IF(ISNUMBER(C13/Datos!BI13),C13/Datos!BI13," - ")</f>
        <v xml:space="preserve"> - </v>
      </c>
      <c r="E13" s="846">
        <f>SUBTOTAL(9,E8:E12)</f>
        <v>3118</v>
      </c>
      <c r="F13" s="847">
        <f>IF(ISNUMBER(E13/B13),E13/B13," - ")</f>
        <v>389.75</v>
      </c>
      <c r="G13" s="846">
        <f>SUBTOTAL(9,G8:G12)</f>
        <v>2702</v>
      </c>
      <c r="H13" s="847">
        <f>IF(ISNUMBER(G13/B13),G13/B13," - ")</f>
        <v>337.75</v>
      </c>
      <c r="I13" s="846">
        <f>SUBTOTAL(9,I8:I12)</f>
        <v>16421</v>
      </c>
      <c r="J13" s="847">
        <f>IF(ISNUMBER(I13/B13),I13/B13," - ")</f>
        <v>2052.625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1940</v>
      </c>
      <c r="D15" s="403" t="str">
        <f>IF(ISNUMBER(C15/Datos!BH15),C15/Datos!BH15," - ")</f>
        <v xml:space="preserve"> - </v>
      </c>
      <c r="E15" s="402">
        <f>IF(ISNUMBER(IF(D_I="SI",Datos!J15,Datos!J15+Datos!AD15)),IF(D_I="SI",Datos!J15,Datos!J15+Datos!AD15)," - ")</f>
        <v>2950</v>
      </c>
      <c r="F15" s="403">
        <f>IF(ISNUMBER(E15/B15),E15/B15," - ")</f>
        <v>737.5</v>
      </c>
      <c r="G15" s="402">
        <f>IF(ISNUMBER(IF(D_I="SI",Datos!K15,Datos!K15+Datos!AE15)),IF(D_I="SI",Datos!K15,Datos!K15+Datos!AE15)," - ")</f>
        <v>2462</v>
      </c>
      <c r="H15" s="403">
        <f>IF(ISNUMBER(G15/B15),G15/B15," - ")</f>
        <v>615.5</v>
      </c>
      <c r="I15" s="402">
        <f>IF(ISNUMBER(IF(D_I="SI",Datos!L15,Datos!L15+Datos!AF15)),IF(D_I="SI",Datos!L15,Datos!L15+Datos!AF15)," - ")</f>
        <v>2437</v>
      </c>
      <c r="J15" s="403">
        <f>IF(ISNUMBER(I15/B15),I15/B15," - ")</f>
        <v>609.25</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f>IF(ISNUMBER(IF(D_I="SI",Datos!I17,Datos!I17+Datos!AC17)),IF(D_I="SI",Datos!I17,Datos!I17+Datos!AC17)," - ")</f>
        <v>2871</v>
      </c>
      <c r="D17" s="403">
        <f>IF(ISNUMBER(C17/Datos!BH17),C17/Datos!BH17," - ")</f>
        <v>287.10000000000002</v>
      </c>
      <c r="E17" s="402">
        <f>IF(ISNUMBER(IF(D_I="SI",Datos!J17,Datos!J17+Datos!AD17)),IF(D_I="SI",Datos!J17,Datos!J17+Datos!AD17)," - ")</f>
        <v>255</v>
      </c>
      <c r="F17" s="403" t="str">
        <f>IF(ISNUMBER(E17/B17),E17/B17," - ")</f>
        <v xml:space="preserve"> - </v>
      </c>
      <c r="G17" s="402">
        <f>IF(ISNUMBER(IF(D_I="SI",Datos!K17,Datos!K17+Datos!AE17)),IF(D_I="SI",Datos!K17,Datos!K17+Datos!AE17)," - ")</f>
        <v>638</v>
      </c>
      <c r="H17" s="403" t="str">
        <f>IF(ISNUMBER(G17/B17),G17/B17," - ")</f>
        <v xml:space="preserve"> - </v>
      </c>
      <c r="I17" s="402">
        <f>IF(ISNUMBER(IF(D_I="SI",Datos!L17,Datos!L17+Datos!AF17)),IF(D_I="SI",Datos!L17,Datos!L17+Datos!AF17)," - ")</f>
        <v>2496</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372</v>
      </c>
      <c r="D18" s="403">
        <f>IF(ISNUMBER(C18/Datos!BH18),C18/Datos!BH18," - ")</f>
        <v>372</v>
      </c>
      <c r="E18" s="402">
        <f>IF(ISNUMBER(IF(D_I="SI",Datos!J18,Datos!J18+Datos!AD18)),IF(D_I="SI",Datos!J18,Datos!J18+Datos!AD18)," - ")</f>
        <v>628</v>
      </c>
      <c r="F18" s="403">
        <f>IF(ISNUMBER(E18/B18),E18/B18," - ")</f>
        <v>314</v>
      </c>
      <c r="G18" s="402">
        <f>IF(ISNUMBER(IF(D_I="SI",Datos!K18,Datos!K18+Datos!AE18)),IF(D_I="SI",Datos!K18,Datos!K18+Datos!AE18)," - ")</f>
        <v>674</v>
      </c>
      <c r="H18" s="403">
        <f>IF(ISNUMBER(G18/B18),G18/B18," - ")</f>
        <v>337</v>
      </c>
      <c r="I18" s="402">
        <f>IF(ISNUMBER(IF(D_I="SI",Datos!L18,Datos!L18+Datos!AF18)),IF(D_I="SI",Datos!L18,Datos!L18+Datos!AF18)," - ")</f>
        <v>331</v>
      </c>
      <c r="J18" s="403">
        <f>IF(ISNUMBER(I18/B18),I18/B18," - ")</f>
        <v>165.5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5183</v>
      </c>
      <c r="D19" s="847" t="str">
        <f>IF(ISNUMBER(C19/Datos!BI19),C19/Datos!BI19," - ")</f>
        <v xml:space="preserve"> - </v>
      </c>
      <c r="E19" s="846">
        <f>SUBTOTAL(9,E14:E18)</f>
        <v>3833</v>
      </c>
      <c r="F19" s="847">
        <f>IF(ISNUMBER(E19/B19),E19/B19," - ")</f>
        <v>638.83333333333337</v>
      </c>
      <c r="G19" s="846">
        <f>SUBTOTAL(9,G14:G18)</f>
        <v>3774</v>
      </c>
      <c r="H19" s="847">
        <f>IF(ISNUMBER(G19/B19),G19/B19," - ")</f>
        <v>629</v>
      </c>
      <c r="I19" s="846">
        <f>SUBTOTAL(9,I14:I18)</f>
        <v>5264</v>
      </c>
      <c r="J19" s="847">
        <f>IF(ISNUMBER(I19/B19),I19/B19," - ")</f>
        <v>877.33333333333337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12</v>
      </c>
      <c r="C20" s="791">
        <f>SUBTOTAL(9,C9:C19)</f>
        <v>21187</v>
      </c>
      <c r="D20" s="792" t="str">
        <f>IF(ISNUMBER(C20/Datos!BI20),C20/Datos!BI20," - ")</f>
        <v xml:space="preserve"> - </v>
      </c>
      <c r="E20" s="791">
        <f>SUBTOTAL(9,E9:E19)</f>
        <v>6951</v>
      </c>
      <c r="F20" s="792">
        <f>IF(ISNUMBER(E20/B20),E20/B20," - ")</f>
        <v>579.25</v>
      </c>
      <c r="G20" s="791">
        <f>SUBTOTAL(9,G9:G19)</f>
        <v>6476</v>
      </c>
      <c r="H20" s="792">
        <f>IF(ISNUMBER(G20/B20),G20/B20," - ")</f>
        <v>539.66666666666663</v>
      </c>
      <c r="I20" s="791">
        <f>SUBTOTAL(9,I9:I19)</f>
        <v>21685</v>
      </c>
      <c r="J20" s="792">
        <f>IF(ISNUMBER(I20/B20),I20/B20," - ")</f>
        <v>1807.0833333333333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xlvqP1tzsAOlraodlKOfv3w/LdlL0l+5o3MPpk8BDiocTIj4dGzfL/JIIRvxklMe+eRDM3dXCEfS0MVxmwZdig==" saltValue="yHjob8AybjOvl5qIO7RZt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ARGANDA DEL REY</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6</v>
      </c>
      <c r="B9" s="500" t="s">
        <v>247</v>
      </c>
      <c r="C9" s="159" t="str">
        <f>Datos!A9</f>
        <v>Sección Civil del T.I</v>
      </c>
      <c r="D9" s="501"/>
      <c r="E9" s="679">
        <f>IF(ISNUMBER(Datos!AQ9),Datos!AQ9," - ")</f>
        <v>6</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2</v>
      </c>
      <c r="F10" s="680">
        <f>IF(ISNUMBER(Datos!L10+Datos!K10-Datos!J10),Datos!L10+Datos!K10-Datos!J10," - ")</f>
        <v>139</v>
      </c>
      <c r="G10" s="681">
        <f>IF(ISNUMBER(Datos!I10),Datos!I10," - ")</f>
        <v>139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7</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42</v>
      </c>
      <c r="AC10" s="680" t="str">
        <f>IF(ISNUMBER(IF(D_I="SI",DatosP!K18,DatosP!K18+DatosP!AE18)),IF(D_I="SI",DatosP!K18,DatosP!K18+DatosP!AE18)," - ")</f>
        <v xml:space="preserve"> - </v>
      </c>
      <c r="AD10" s="682"/>
      <c r="AE10" s="682"/>
      <c r="AF10" s="685">
        <f>IF(ISNUMBER(Datos!L10),Datos!L10,"-")</f>
        <v>149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19</v>
      </c>
      <c r="AM10" s="687">
        <f>IF(ISNUMBER(Datos!N10+DatosP!N18),Datos!N10+DatosP!N18," - ")</f>
        <v>10</v>
      </c>
      <c r="AN10" s="687">
        <f>IF(ISNUMBER(Datos!BW10+DatosP!BW18),Datos!BW10+DatosP!BW18," - ")</f>
        <v>0</v>
      </c>
      <c r="AO10" s="688">
        <f>IF(ISNUMBER(Datos!BX10+DatosP!BX18),Datos!BX10+DatosP!BX18," - ")</f>
        <v>0</v>
      </c>
      <c r="AP10" s="690">
        <f>IF(ISNUMBER(((Datos!L10/Datos!K10)*11)/factor_trimestre),((Datos!L10/Datos!K10)*11)/factor_trimestre," - ")</f>
        <v>10.642857142857142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168</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122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4454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149</v>
      </c>
      <c r="AM12" s="687">
        <f>IF(ISNUMBER(Datos!N12+DatosP!N17),Datos!N12+DatosP!N17," - ")</f>
        <v>388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15.418128654970761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1.0435571687840291E-2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139</v>
      </c>
      <c r="G13" s="933">
        <f t="shared" si="0"/>
        <v>139</v>
      </c>
      <c r="H13" s="933">
        <f t="shared" si="0"/>
        <v>0</v>
      </c>
      <c r="I13" s="935">
        <f t="shared" si="0"/>
        <v>0</v>
      </c>
      <c r="J13" s="934">
        <f t="shared" si="0"/>
        <v>0</v>
      </c>
      <c r="K13" s="934">
        <f t="shared" si="0"/>
        <v>0</v>
      </c>
      <c r="L13" s="936">
        <f t="shared" si="0"/>
        <v>0</v>
      </c>
      <c r="M13" s="936">
        <f t="shared" si="0"/>
        <v>0</v>
      </c>
      <c r="N13" s="934">
        <f t="shared" si="0"/>
        <v>175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42</v>
      </c>
      <c r="AC13" s="934">
        <f t="shared" si="1"/>
        <v>0</v>
      </c>
      <c r="AD13" s="934">
        <f t="shared" si="1"/>
        <v>122</v>
      </c>
      <c r="AE13" s="934">
        <f t="shared" si="1"/>
        <v>0</v>
      </c>
      <c r="AF13" s="934">
        <f t="shared" si="1"/>
        <v>149</v>
      </c>
      <c r="AG13" s="934">
        <f t="shared" si="1"/>
        <v>0</v>
      </c>
      <c r="AH13" s="934">
        <f t="shared" si="1"/>
        <v>4454</v>
      </c>
      <c r="AI13" s="934">
        <f t="shared" si="1"/>
        <v>0</v>
      </c>
      <c r="AJ13" s="934">
        <f t="shared" si="1"/>
        <v>0</v>
      </c>
      <c r="AK13" s="934">
        <f t="shared" si="1"/>
        <v>0</v>
      </c>
      <c r="AL13" s="934">
        <f t="shared" si="1"/>
        <v>168</v>
      </c>
      <c r="AM13" s="934">
        <f t="shared" si="1"/>
        <v>398</v>
      </c>
      <c r="AN13" s="934">
        <f t="shared" si="1"/>
        <v>0</v>
      </c>
      <c r="AO13" s="934">
        <f t="shared" si="1"/>
        <v>0</v>
      </c>
      <c r="AP13" s="939">
        <f>IF(ISNUMBER(((Datos!L13/Datos!K13)*11)/factor_trimestre),((Datos!L13/Datos!K13)*11)/factor_trimestre," - ")</f>
        <v>19.962443252166736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-0.30215827338129497</v>
      </c>
      <c r="AU13" s="934" t="str">
        <f>IF(ISNUMBER((DatosP!#REF!-DatosP!#REF!+DatosP!#REF!)/(DatosP!#REF!+DatosP!#REF!-DatosP!#REF!-DatosP!#REF!)),(DatosP!#REF!-DatosP!#REF!+DatosP!#REF!)/(DatosP!#REF!+DatosP!#REF!-DatosP!#REF!-DatosP!#REF!)," - ")</f>
        <v xml:space="preserve"> - </v>
      </c>
      <c r="AV13" s="940">
        <f>SUBTOTAL(9,AV9:AV12)</f>
        <v>1.0435571687840291E-2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4.1844197138314794</v>
      </c>
      <c r="AQ19" s="939">
        <f>IF(ISNUMBER(((Datos!M19/Datos!L19)*11)/factor_trimestre),((Datos!M19/Datos!L19)*11)/factor_trimestre," - ")</f>
        <v>0.2353723404255319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v>
      </c>
      <c r="AW19" s="941">
        <f>IF(ISNUMBER((Datos!Q19-Datos!R19)/(Datos!S19-Datos!Q19+Datos!R19)),(Datos!Q19-Datos!R19)/(Datos!S19-Datos!Q19+Datos!R19)," - ")</f>
        <v>-8.8040514218932608E-2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139</v>
      </c>
      <c r="G20" s="946">
        <f t="shared" si="4"/>
        <v>139</v>
      </c>
      <c r="H20" s="946">
        <f t="shared" si="4"/>
        <v>0</v>
      </c>
      <c r="I20" s="947">
        <f t="shared" si="4"/>
        <v>0</v>
      </c>
      <c r="J20" s="948">
        <f t="shared" si="4"/>
        <v>0</v>
      </c>
      <c r="K20" s="948">
        <f t="shared" si="4"/>
        <v>0</v>
      </c>
      <c r="L20" s="948">
        <f t="shared" si="4"/>
        <v>0</v>
      </c>
      <c r="M20" s="948">
        <f t="shared" si="4"/>
        <v>0</v>
      </c>
      <c r="N20" s="947">
        <f t="shared" si="4"/>
        <v>175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42</v>
      </c>
      <c r="AC20" s="952">
        <f t="shared" si="5"/>
        <v>0</v>
      </c>
      <c r="AD20" s="952">
        <f t="shared" si="5"/>
        <v>122</v>
      </c>
      <c r="AE20" s="952">
        <f t="shared" si="5"/>
        <v>0</v>
      </c>
      <c r="AF20" s="953">
        <f t="shared" si="5"/>
        <v>149</v>
      </c>
      <c r="AG20" s="953">
        <f t="shared" si="5"/>
        <v>0</v>
      </c>
      <c r="AH20" s="953">
        <f t="shared" si="5"/>
        <v>4454</v>
      </c>
      <c r="AI20" s="953">
        <f t="shared" si="5"/>
        <v>0</v>
      </c>
      <c r="AJ20" s="954">
        <f t="shared" si="5"/>
        <v>0</v>
      </c>
      <c r="AK20" s="954">
        <f t="shared" si="5"/>
        <v>0</v>
      </c>
      <c r="AL20" s="946">
        <f t="shared" si="5"/>
        <v>168</v>
      </c>
      <c r="AM20" s="946">
        <f t="shared" si="5"/>
        <v>398</v>
      </c>
      <c r="AN20" s="946">
        <f t="shared" si="5"/>
        <v>0</v>
      </c>
      <c r="AO20" s="946">
        <f t="shared" si="5"/>
        <v>0</v>
      </c>
      <c r="AP20" s="946">
        <f>IF(ISNUMBER(((Datos!L20/Datos!K20)*11)/factor_trimestre),((Datos!L20/Datos!K20)*11)/factor_trimestre," - ")</f>
        <v>10.353558173309667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-0.30215827338129497</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1.5030408340573415E-2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92.666666666666671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3.5023801430836525</v>
      </c>
      <c r="F22" s="733">
        <f>IF(ISNUMBER(STDEV(F8:F19)),STDEV(F8:F19),"-")</f>
        <v>80.251687417357985</v>
      </c>
      <c r="G22" s="734">
        <f>IF(ISNUMBER(STDEV(G8:G19)),STDEV(G8:G19),"-")</f>
        <v>80.251687417357985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24.248711305964282</v>
      </c>
      <c r="AC22" s="735">
        <f>IF(ISNUMBER(STDEV(AC8:AC19)),STDEV(AC8:AC19),"-")</f>
        <v>0</v>
      </c>
      <c r="AD22" s="738"/>
      <c r="AE22" s="738"/>
      <c r="AF22" s="738"/>
      <c r="AG22" s="738"/>
      <c r="AH22" s="738"/>
      <c r="AI22" s="738"/>
      <c r="AJ22" s="739">
        <f>IF(ISNUMBER(STDEV(AJ8:AJ19)),STDEV(AJ8:AJ19),"-")</f>
        <v>0</v>
      </c>
      <c r="AK22" s="741"/>
      <c r="AL22" s="733">
        <f>IF(ISNUMBER(STDEV(AL8:AL19)),STDEV(AL8:AL19),"-")</f>
        <v>86.721777349560057</v>
      </c>
      <c r="AM22" s="733"/>
      <c r="AN22" s="733">
        <f>IF(ISNUMBER(STDEV(AN8:AN19)),STDEV(AN8:AN19),"-")</f>
        <v>0</v>
      </c>
      <c r="AO22" s="739">
        <f>IF(ISNUMBER(STDEV(AO8:AO19)),STDEV(AO8:AO19),"-")</f>
        <v>0</v>
      </c>
      <c r="AP22" s="776">
        <f>IF(ISNUMBER(STDEV(AP8:AP19)),STDEV(AP8:AP19),"-")</f>
        <v>6.7525449264003559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rsC5aIgsawzJopFCB/A/2MzydlYII93yF5iLMk4Oh7bMKfVXiUNGMLppo4iQnQHjicu68eALQhvWN6pIOPz55Q==" saltValue="sf4fJQ7BiE3oHkxeAsHL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MADRID</v>
      </c>
    </row>
    <row r="2" spans="1:168" ht="16.5" customHeight="1">
      <c r="C2" s="487" t="str">
        <f>Criterios!A10 &amp;"  "&amp;Criterios!B10 &amp; "  " &amp; IF(NOT(ISBLANK(Criterios!A11)),Criterios!A11 &amp;"  "&amp;Criterios!B11,"")</f>
        <v>Provincias  MADRID  Resumenes por Partidos Judiciales  ARGANDA DEL REY</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6</v>
      </c>
      <c r="B9" s="500" t="s">
        <v>247</v>
      </c>
      <c r="C9" s="159" t="str">
        <f>Datos!A9</f>
        <v>Sección Civil del T.I</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228</v>
      </c>
      <c r="O9" s="333"/>
      <c r="P9" s="333"/>
      <c r="Q9" s="225">
        <f>IF(ISNUMBER(Datos!P9),Datos!P9,0)</f>
        <v>281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153</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192</v>
      </c>
      <c r="AI9" s="224" t="str">
        <f>IF(ISNUMBER(Datos!CD9),Datos!CD9,"-")</f>
        <v>-</v>
      </c>
      <c r="AJ9" s="1214" t="str">
        <f>IF(ISNUMBER(Datos!EN9),Datos!EN9," - ")</f>
        <v xml:space="preserve"> - </v>
      </c>
      <c r="AK9" s="333"/>
      <c r="AL9" s="478"/>
      <c r="AM9" s="1214">
        <f>IF(ISNUMBER(Datos!R9),Datos!R9," - ")</f>
        <v>6599</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321</v>
      </c>
      <c r="BD9" s="228">
        <f>IF(ISNUMBER(Datos!N9),Datos!N9," - ")</f>
        <v>729</v>
      </c>
      <c r="BE9" s="1214" t="str">
        <f>IF(ISNUMBER(Datos!BW9),Datos!BW9," - ")</f>
        <v xml:space="preserve"> - </v>
      </c>
      <c r="BF9" s="1214" t="str">
        <f>IF(ISNUMBER(Datos!BX9),Datos!BX9," - ")</f>
        <v xml:space="preserve"> - </v>
      </c>
      <c r="BG9" s="242">
        <f>IF(ISNUMBER(IF(J_V="SI",Datos!K9/Datos!J9,(Datos!K9+Datos!AA9)/(Datos!J9+Datos!Z9))),IF(J_V="SI",Datos!K9/Datos!J9,(Datos!K9+Datos!AA9)/(Datos!J9+Datos!Z9))," - ")</f>
        <v>0.56657420249653256</v>
      </c>
      <c r="BH9" s="1214">
        <f>IF(ISNUMBER(((IF(J_V="SI",Datos!L9/Datos!K9,(Datos!L9+Datos!AB9)/(Datos!K9+Datos!AA9)))*11)/factor_trimestre),((IF(J_V="SI",Datos!L9/Datos!K9,(Datos!L9+Datos!AB9)/(Datos!K9+Datos!AA9)))*11)/factor_trimestre," - ")</f>
        <v>20.194002447980417</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1.9780559418946068E-2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1178.3665425416732</v>
      </c>
      <c r="CF9" s="228">
        <f ca="1">AVERAGEIFS($AB:$AB,$BW:$BW,BW9,$BX:$BX,BX9)</f>
        <v>1178.3665425416732</v>
      </c>
      <c r="CG9" s="1191">
        <v>0.7</v>
      </c>
      <c r="CH9" s="1191">
        <f ca="1">AVERAGEIF($BW:$BW,$BW9,$AC:$AC)</f>
        <v>98.5</v>
      </c>
      <c r="CI9" s="228">
        <f ca="1">AVERAGEIFS($AC:$AC,$BW:$BW,$BW9,$BX:$BX,$BX9)</f>
        <v>98.5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1623.9</v>
      </c>
      <c r="CR9" s="228">
        <f ca="1">AVERAGEIFS($AF:$AF,$BW:$BW,BW9,$BX:$BX,BX9)</f>
        <v>1623.9</v>
      </c>
      <c r="CS9" s="1191">
        <v>1.3</v>
      </c>
      <c r="CT9" s="1191">
        <v>1.5</v>
      </c>
      <c r="CU9" s="1191">
        <f ca="1">AVERAGEIF($BW:$BW,$BW9,$AH:$AH)</f>
        <v>111.75</v>
      </c>
      <c r="CV9" s="228">
        <f ca="1">AVERAGEIFS($AH:$AH,$BW:$BW,$BW9,$BX:$BX,$BX9)</f>
        <v>111.75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2920.75</v>
      </c>
      <c r="DH9" s="1218">
        <f ca="1">AVERAGEIFS($AM:$AM,$BW:$BW,$BW9,$BX:$BX,$BX9)</f>
        <v>2920.75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8.0281133793910122</v>
      </c>
      <c r="ER9" s="1218">
        <f ca="1">AVERAGEIFS($BH:$BH,$BW:$BW,$BW9,$BX:$BX,$BX9)</f>
        <v>8.0281133793910122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2</v>
      </c>
      <c r="F10" s="224">
        <f>IF(ISNUMBER(Datos!L10+Datos!K10-Datos!J10),Datos!L10+Datos!K10-Datos!J10," - ")</f>
        <v>139</v>
      </c>
      <c r="G10" s="332">
        <f>IF(ISNUMBER(Datos!I10),Datos!I10," - ")</f>
        <v>139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42</v>
      </c>
      <c r="AC10" s="224">
        <f>IF(ISNUMBER(Datos!Q10),Datos!Q10," - ")</f>
        <v>8</v>
      </c>
      <c r="AD10" s="224"/>
      <c r="AE10" s="224"/>
      <c r="AF10" s="224">
        <f>IF(ISNUMBER(Datos!L10),Datos!L10,"-")</f>
        <v>149</v>
      </c>
      <c r="AG10" s="333"/>
      <c r="AH10" s="224"/>
      <c r="AI10" s="224"/>
      <c r="AJ10" s="1214"/>
      <c r="AK10" s="333"/>
      <c r="AL10" s="478"/>
      <c r="AM10" s="1214">
        <f>IF(ISNUMBER(Datos!R10),Datos!R10," - ")</f>
        <v>67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19</v>
      </c>
      <c r="BD10" s="228">
        <f>IF(ISNUMBER(Datos!N10),Datos!N10," - ")</f>
        <v>10</v>
      </c>
      <c r="BE10" s="1214" t="str">
        <f>IF(ISNUMBER(Datos!BW10),Datos!BW10," - ")</f>
        <v xml:space="preserve"> - </v>
      </c>
      <c r="BF10" s="1214" t="str">
        <f>IF(ISNUMBER(Datos!BX10),Datos!BX10," - ")</f>
        <v xml:space="preserve"> - </v>
      </c>
      <c r="BG10" s="242">
        <f>IF(ISNUMBER(Datos!K10/Datos!J10),Datos!K10/Datos!J10," - ")</f>
        <v>0.80769230769230771</v>
      </c>
      <c r="BH10" s="1214">
        <f>IF(ISNUMBER(((Datos!L10/Datos!K10)*11)/factor_trimestre),((Datos!L10/Datos!K10)*11)/factor_trimestre," - ")</f>
        <v>10.642857142857142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-1.4705882352941176E-2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1178.3665425416732</v>
      </c>
      <c r="CF10" s="228">
        <f ca="1">AVERAGEIFS($AB:$AB,$BW:$BW,BW10,$BX:$BX,BX10)</f>
        <v>1178.3665425416732</v>
      </c>
      <c r="CG10" s="1191">
        <v>0.7</v>
      </c>
      <c r="CH10" s="1191">
        <f ca="1">AVERAGEIF($BW:$BW,BW10,$AC:$AC)</f>
        <v>98.5</v>
      </c>
      <c r="CI10" s="228">
        <f ca="1">AVERAGEIFS($AC:$AC,$BW:$BW,BW10,$BX:$BX,BX10)</f>
        <v>98.5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1623.9</v>
      </c>
      <c r="CR10" s="228">
        <f ca="1">AVERAGEIFS($AF:$AF,$BW:$BW,BW10,$BX:$BX,BX10)</f>
        <v>1623.9</v>
      </c>
      <c r="CS10" s="1191">
        <v>1.3</v>
      </c>
      <c r="CT10" s="1191">
        <v>1.5</v>
      </c>
      <c r="CU10" s="1191">
        <f ca="1">AVERAGEIF($BW:$BW,$BW10,$AH:$AH)</f>
        <v>111.75</v>
      </c>
      <c r="CV10" s="228">
        <f ca="1">AVERAGEIFS($AH:$AH,$BW:$BW,$BW10,$BX:$BX,$BX10)</f>
        <v>111.75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2920.75</v>
      </c>
      <c r="DH10" s="1218">
        <f ca="1">AVERAGEIFS($AM:$AM,$BW:$BW,$BW10,$BX:$BX,$BX10)</f>
        <v>2920.75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8.0281133793910122</v>
      </c>
      <c r="ER10" s="1218">
        <f ca="1">AVERAGEIFS($BH:$BH,$BW:$BW,$BW10,$BX:$BX,$BX10)</f>
        <v>8.0281133793910122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1178.3665425416732</v>
      </c>
      <c r="CF11" s="228">
        <f ca="1">AVERAGEIFS($AB:$AB,$BW:$BW,BW11,$BX:$BX,BX11)</f>
        <v>1178.3665425416732</v>
      </c>
      <c r="CG11" s="1191">
        <v>0.7</v>
      </c>
      <c r="CH11" s="1191">
        <f ca="1">AVERAGEIF($BW:$BW,BW11,$AC:$AC)</f>
        <v>98.5</v>
      </c>
      <c r="CI11" s="228">
        <f ca="1">AVERAGEIFS($AC:$AC,$BW:$BW,BW11,$BX:$BX,BX11)</f>
        <v>98.5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1623.9</v>
      </c>
      <c r="CR11" s="228">
        <f ca="1">AVERAGEIFS($AF:$AF,$BW:$BW,BW11,$BX:$BX,BX11)</f>
        <v>1623.9</v>
      </c>
      <c r="CS11" s="1191">
        <v>1.3</v>
      </c>
      <c r="CT11" s="1191">
        <v>1.5</v>
      </c>
      <c r="CU11" s="1191">
        <f ca="1">AVERAGEIF($BW:$BW,$BW11,$AH:$AH)</f>
        <v>111.75</v>
      </c>
      <c r="CV11" s="228">
        <f ca="1">AVERAGEIFS($AH:$AH,$BW:$BW,$BW11,$BX:$BX,$BX11)</f>
        <v>111.75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2920.75</v>
      </c>
      <c r="DH11" s="1218">
        <f ca="1">AVERAGEIFS($AM:$AM,$BW:$BW,$BW11,$BX:$BX,$BX11)</f>
        <v>2920.75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8.0281133793910122</v>
      </c>
      <c r="ER11" s="1218">
        <f ca="1">AVERAGEIFS($BH:$BH,$BW:$BW,$BW11,$BX:$BX,$BX11)</f>
        <v>8.0281133793910122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v>
      </c>
      <c r="O12" s="333"/>
      <c r="P12" s="333"/>
      <c r="Q12" s="225">
        <f>IF(ISNUMBER(Datos!P12),Datos!P12,0)</f>
        <v>168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122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106</v>
      </c>
      <c r="AI12" s="224" t="str">
        <f>IF(ISNUMBER(Datos!CD12),Datos!CD12,"-")</f>
        <v>-</v>
      </c>
      <c r="AJ12" s="1214" t="str">
        <f>IF(ISNUMBER(Datos!EN12),Datos!EN12," - ")</f>
        <v xml:space="preserve"> - </v>
      </c>
      <c r="AK12" s="333"/>
      <c r="AL12" s="478"/>
      <c r="AM12" s="1214">
        <f>IF(ISNUMBER(Datos!R12),Datos!R12," - ")</f>
        <v>4454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149</v>
      </c>
      <c r="BD12" s="228">
        <f>IF(ISNUMBER(Datos!N12),Datos!N12," - ")</f>
        <v>388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5.6373626373626378</v>
      </c>
      <c r="BH12" s="1214">
        <f>IF(ISNUMBER(((IF(J_V="SI",Datos!L12/Datos!K12,(Datos!L12+Datos!AB12)/(Datos!K12+Datos!AA12)))*11)/factor_trimestre),((IF(J_V="SI",Datos!L12/Datos!K12,(Datos!L12+Datos!AB12)/(Datos!K12+Datos!AA12)))*11)/factor_trimestre," - ")</f>
        <v>15.418128654970761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1.0435571687840291E-2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1178.3665425416732</v>
      </c>
      <c r="CF12" s="228">
        <f ca="1">AVERAGEIFS($AB:$AB,$BW:$BW,BW12,$BX:$BX,BX12)</f>
        <v>1178.3665425416732</v>
      </c>
      <c r="CG12" s="1191">
        <v>0.7</v>
      </c>
      <c r="CH12" s="1191">
        <f ca="1">AVERAGEIF($BW:$BW,BW12,$AC:$AC)</f>
        <v>98.5</v>
      </c>
      <c r="CI12" s="228">
        <f ca="1">AVERAGEIFS($AC:$AC,$BW:$BW,BW12,$BX:$BX,BX12)</f>
        <v>98.5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1623.9</v>
      </c>
      <c r="CR12" s="228">
        <f ca="1">AVERAGEIFS($AF:$AF,$BW:$BW,BW12,$BX:$BX,BX12)</f>
        <v>1623.9</v>
      </c>
      <c r="CS12" s="1191">
        <v>1.3</v>
      </c>
      <c r="CT12" s="1191">
        <v>1.5</v>
      </c>
      <c r="CU12" s="1191">
        <f ca="1">AVERAGEIF($BW:$BW,$BW12,$AH:$AH)</f>
        <v>111.75</v>
      </c>
      <c r="CV12" s="228">
        <f ca="1">AVERAGEIFS($AH:$AH,$BW:$BW,$BW12,$BX:$BX,$BX12)</f>
        <v>111.75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2920.75</v>
      </c>
      <c r="DH12" s="1218">
        <f ca="1">AVERAGEIFS($AM:$AM,$BW:$BW,$BW12,$BX:$BX,$BX12)</f>
        <v>2920.75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8.0281133793910122</v>
      </c>
      <c r="ER12" s="1218">
        <f ca="1">AVERAGEIFS($BH:$BH,$BW:$BW,$BW12,$BX:$BX,$BX12)</f>
        <v>8.0281133793910122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139</v>
      </c>
      <c r="G13" s="895">
        <f t="shared" si="1"/>
        <v>139</v>
      </c>
      <c r="H13" s="896">
        <f t="shared" si="1"/>
        <v>0</v>
      </c>
      <c r="I13" s="895">
        <f t="shared" si="1"/>
        <v>0</v>
      </c>
      <c r="J13" s="864">
        <f t="shared" si="1"/>
        <v>0</v>
      </c>
      <c r="K13" s="864">
        <f t="shared" si="1"/>
        <v>0</v>
      </c>
      <c r="L13" s="896">
        <f t="shared" si="1"/>
        <v>0</v>
      </c>
      <c r="M13" s="896">
        <f t="shared" si="1"/>
        <v>0</v>
      </c>
      <c r="N13" s="896">
        <f t="shared" si="1"/>
        <v>249</v>
      </c>
      <c r="O13" s="897">
        <f t="shared" si="1"/>
        <v>0</v>
      </c>
      <c r="P13" s="897">
        <f t="shared" si="1"/>
        <v>0</v>
      </c>
      <c r="Q13" s="896">
        <f t="shared" si="1"/>
        <v>456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42</v>
      </c>
      <c r="AC13" s="896">
        <f t="shared" si="2"/>
        <v>283</v>
      </c>
      <c r="AD13" s="896">
        <f t="shared" si="2"/>
        <v>0</v>
      </c>
      <c r="AE13" s="896">
        <f t="shared" si="2"/>
        <v>0</v>
      </c>
      <c r="AF13" s="896">
        <f t="shared" si="2"/>
        <v>149</v>
      </c>
      <c r="AG13" s="896">
        <f t="shared" si="2"/>
        <v>0</v>
      </c>
      <c r="AH13" s="896">
        <f t="shared" si="2"/>
        <v>298</v>
      </c>
      <c r="AI13" s="896">
        <f t="shared" si="2"/>
        <v>0</v>
      </c>
      <c r="AJ13" s="896">
        <f t="shared" si="2"/>
        <v>0</v>
      </c>
      <c r="AK13" s="896">
        <f t="shared" si="2"/>
        <v>0</v>
      </c>
      <c r="AL13" s="896">
        <f t="shared" si="2"/>
        <v>0</v>
      </c>
      <c r="AM13" s="896">
        <f t="shared" si="2"/>
        <v>11120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489</v>
      </c>
      <c r="BD13" s="896">
        <f t="shared" si="2"/>
        <v>1127</v>
      </c>
      <c r="BE13" s="896">
        <f t="shared" si="2"/>
        <v>0</v>
      </c>
      <c r="BF13" s="896">
        <f t="shared" si="2"/>
        <v>0</v>
      </c>
      <c r="BG13" s="896">
        <f>IF(ISNUMBER(Datos!K13/Datos!J13),Datos!K13/Datos!J13," - ")</f>
        <v>0.84454513767863371</v>
      </c>
      <c r="BH13" s="900">
        <f>IF(ISNUMBER(((Datos!L13/Datos!K13)*11)/factor_trimestre),((Datos!L13/Datos!K13)*11)/factor_trimestre," - ")</f>
        <v>19.962443252166736</v>
      </c>
      <c r="BI13" s="896">
        <f>IF(ISNUMBER('Resol  Asuntos'!D13/NºAsuntos!G13),'Resol  Asuntos'!D13/NºAsuntos!G13," - ")</f>
        <v>0.18097705403404885</v>
      </c>
      <c r="BJ13" s="896" t="str">
        <f>IF(ISNUMBER(Datos!CI13/Datos!CJ13),Datos!CI13/Datos!CJ13," - ")</f>
        <v xml:space="preserve"> - </v>
      </c>
      <c r="BK13" s="896">
        <f>SUBTOTAL(9,BK8:BK12)</f>
        <v>0</v>
      </c>
      <c r="BL13" s="896">
        <f>IF(ISNUMBER((I13-AB13+L13)/(F13)),(I13-AB13+L13)/(F13)," - ")</f>
        <v>-0.30215827338129497</v>
      </c>
      <c r="BM13" s="901">
        <f>SUBTOTAL(9,BM9:BM12)</f>
        <v>1.5510248753845183E-2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397</v>
      </c>
      <c r="C15" s="598" t="str">
        <f>Datos!A15</f>
        <v xml:space="preserve">Seccion Instruccion Del T.I.                   </v>
      </c>
      <c r="D15" s="599"/>
      <c r="E15" s="1160">
        <f>IF(ISNUMBER(Datos!AQ15),Datos!AQ15," - ")</f>
        <v>4</v>
      </c>
      <c r="F15" s="594">
        <f>IF(ISNUMBER(AF15+AB15-Datos!J15-L15),AF15+AB15-Datos!J15-L15," - ")</f>
        <v>1949</v>
      </c>
      <c r="G15" s="596">
        <f>IF(ISNUMBER(IF(D_I="SI",Datos!I15,Datos!I15+Datos!AC15)),IF(D_I="SI",Datos!I15,Datos!I15+Datos!AC15)," - ")</f>
        <v>1940</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65</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2462</v>
      </c>
      <c r="AC15" s="224">
        <f>IF(ISNUMBER(Datos!Q15),Datos!Q15," - ")</f>
        <v>45</v>
      </c>
      <c r="AD15" s="224"/>
      <c r="AE15" s="224"/>
      <c r="AF15" s="224">
        <f>IF(ISNUMBER(IF(D_I="SI",Datos!L15,Datos!L15+Datos!AF15)),IF(D_I="SI",Datos!L15,Datos!L15+Datos!AF15)," - ")</f>
        <v>2437</v>
      </c>
      <c r="AG15" s="333"/>
      <c r="AH15" s="224"/>
      <c r="AI15" s="224"/>
      <c r="AJ15" s="1214"/>
      <c r="AK15" s="333"/>
      <c r="AL15" s="478"/>
      <c r="AM15" s="1214">
        <f>IF(ISNUMBER(Datos!R15),Datos!R15," - ")</f>
        <v>238</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310</v>
      </c>
      <c r="BD15" s="228">
        <f>IF(ISNUMBER(Datos!N15),Datos!N15," - ")</f>
        <v>1665</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0.83457627118644073</v>
      </c>
      <c r="BH15" s="1214">
        <f>IF(ISNUMBER(((IF(D_I="SI",Datos!L15/Datos!K15,(Datos!L15+Datos!AF15)/(Datos!K15+Datos!AE15)))*11)/factor_trimestre),((IF(D_I="SI",Datos!L15/Datos!K15,(Datos!L15+Datos!AF15)/(Datos!K15+Datos!AE15)))*11)/factor_trimestre," - ")</f>
        <v>2.9695369618196588</v>
      </c>
      <c r="BI15" s="242">
        <f>IF(ISNUMBER('Resol  Asuntos'!D15/NºAsuntos!G15),'Resol  Asuntos'!D15/NºAsuntos!G15," - ")</f>
        <v>0.12591389114541024</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1178.3665425416732</v>
      </c>
      <c r="CF15" s="228">
        <f ca="1">AVERAGEIFS($AB:$AB,$BW:$BW,BW15,$BX:$BX,BX15)</f>
        <v>1178.3665425416732</v>
      </c>
      <c r="CG15" s="1191">
        <v>0.7</v>
      </c>
      <c r="CH15" s="1191">
        <f ca="1">AVERAGEIF($BW:$BW,BW15,$AC:$AC)</f>
        <v>98.5</v>
      </c>
      <c r="CI15" s="228">
        <f ca="1">AVERAGEIFS($AC:$AC,$BW:$BW,BW15,$BX:$BX,BX15)</f>
        <v>98.5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1623.9</v>
      </c>
      <c r="CR15" s="228">
        <f ca="1">AVERAGEIFS($AF:$AF,$BW:$BW,BW15,$BX:$BX,BX15)</f>
        <v>1623.9</v>
      </c>
      <c r="CS15" s="1191">
        <v>1.3</v>
      </c>
      <c r="CT15" s="1191">
        <v>1.5</v>
      </c>
      <c r="CU15" s="1191">
        <f ca="1">AVERAGEIF($BW:$BW,$BW15,$AH:$AH)</f>
        <v>111.75</v>
      </c>
      <c r="CV15" s="228">
        <f ca="1">AVERAGEIFS($AH:$AH,$BW:$BW,$BW15,$BX:$BX,$BX15)</f>
        <v>111.75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2920.75</v>
      </c>
      <c r="DH15" s="1218">
        <f ca="1">AVERAGEIFS($AM:$AM,$BW:$BW,$BW15,$BX:$BX,$BX15)</f>
        <v>2920.75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8.0281133793910122</v>
      </c>
      <c r="ER15" s="1218">
        <f ca="1">AVERAGEIFS($BH:$BH,$BW:$BW,$BW15,$BX:$BX,$BX15)</f>
        <v>8.0281133793910122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1178.3665425416732</v>
      </c>
      <c r="CF16" s="1218">
        <f ca="1">AVERAGEIFS($AB:$AB,$BW:$BW,BW16,$BX:$BX,BX16)</f>
        <v>1178.3665425416732</v>
      </c>
      <c r="CG16" s="1191">
        <v>0.7</v>
      </c>
      <c r="CH16" s="1191">
        <f ca="1">AVERAGEIF($BW:$BW,BW16,$AC:$AC)</f>
        <v>98.5</v>
      </c>
      <c r="CI16" s="1218">
        <f ca="1">AVERAGEIFS($AC:$AC,$BW:$BW,BW16,$BX:$BX,BX16)</f>
        <v>98.5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1623.9</v>
      </c>
      <c r="CR16" s="1218">
        <f ca="1">AVERAGEIFS($AF:$AF,$BW:$BW,BW16,$BX:$BX,BX16)</f>
        <v>1623.9</v>
      </c>
      <c r="CS16" s="1191">
        <v>1.3</v>
      </c>
      <c r="CT16" s="1191">
        <v>1.5</v>
      </c>
      <c r="CU16" s="1191">
        <f ca="1">AVERAGEIF($BW:$BW,$BW16,$AH:$AH)</f>
        <v>111.75</v>
      </c>
      <c r="CV16" s="1218">
        <f ca="1">AVERAGEIFS($AH:$AH,$BW:$BW,$BW16,$BX:$BX,$BX16)</f>
        <v>111.75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2920.75</v>
      </c>
      <c r="DH16" s="1218">
        <f ca="1">AVERAGEIFS($AM:$AM,$BW:$BW,$BW16,$BX:$BX,$BX16)</f>
        <v>2920.75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8.0281133793910122</v>
      </c>
      <c r="ER16" s="1218">
        <f ca="1">AVERAGEIFS($BH:$BH,$BW:$BW,$BW16,$BX:$BX,$BX16)</f>
        <v>8.0281133793910122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f>IF(ISNUMBER(AF17+AB17-Datos!J17-L17),AF17+AB17-Datos!J17-L17," - ")</f>
        <v>2879</v>
      </c>
      <c r="G17" s="596">
        <f>IF(ISNUMBER(IF(D_I="SI",Datos!I17,Datos!I17+Datos!AC17)),IF(D_I="SI",Datos!I17,Datos!I17+Datos!AC17)," - ")</f>
        <v>2871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638</v>
      </c>
      <c r="AC17" s="224">
        <f>IF(ISNUMBER(Datos!Q17),Datos!Q17," - ")</f>
        <v>66</v>
      </c>
      <c r="AD17" s="224"/>
      <c r="AE17" s="224"/>
      <c r="AF17" s="224">
        <f>IF(ISNUMBER(IF(D_I="SI",Datos!L17,Datos!L17+Datos!AF17)),IF(D_I="SI",Datos!L17,Datos!L17+Datos!AF17)," - ")</f>
        <v>2496</v>
      </c>
      <c r="AG17" s="333"/>
      <c r="AH17" s="224"/>
      <c r="AI17" s="224"/>
      <c r="AJ17" s="1214"/>
      <c r="AK17" s="333"/>
      <c r="AL17" s="478"/>
      <c r="AM17" s="1214">
        <f>IF(ISNUMBER(Datos!R17),Datos!R17," - ")</f>
        <v>315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92</v>
      </c>
      <c r="BD17" s="228">
        <f>IF(ISNUMBER(Datos!N17),Datos!N17," - ")</f>
        <v>334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2.5019607843137255</v>
      </c>
      <c r="BH17" s="1214">
        <f>IF(ISNUMBER(((IF(D_I="SI",Datos!L17/Datos!K17,(Datos!L17+Datos!AF17)/(Datos!K17+Datos!AE17)))*11)/factor_trimestre),((IF(D_I="SI",Datos!L17/Datos!K17,(Datos!L17+Datos!AF17)/(Datos!K17+Datos!AE17)))*11)/factor_trimestre," - ")</f>
        <v>11.736677115987462</v>
      </c>
      <c r="BI17" s="242">
        <f>IF(ISNUMBER('Resol  Asuntos'!D17/NºAsuntos!G17),'Resol  Asuntos'!D17/NºAsuntos!G17," - ")</f>
        <v>0.14420062695924765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1178.3665425416732</v>
      </c>
      <c r="CF17" s="228">
        <f ca="1">AVERAGEIFS($AB:$AB,$BW:$BW,BW17,$BX:$BX,BX17)</f>
        <v>1178.3665425416732</v>
      </c>
      <c r="CG17" s="1191">
        <v>0.7</v>
      </c>
      <c r="CH17" s="1191">
        <f ca="1">AVERAGEIF($BW:$BW,BW17,$AC:$AC)</f>
        <v>98.5</v>
      </c>
      <c r="CI17" s="228">
        <f ca="1">AVERAGEIFS($AC:$AC,$BW:$BW,BW17,$BX:$BX,BX17)</f>
        <v>98.5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1623.9</v>
      </c>
      <c r="CR17" s="228">
        <f ca="1">AVERAGEIFS($AF:$AF,$BW:$BW,BW17,$BX:$BX,BX17)</f>
        <v>1623.9</v>
      </c>
      <c r="CS17" s="1191">
        <v>1.3</v>
      </c>
      <c r="CT17" s="1191">
        <v>1.5</v>
      </c>
      <c r="CU17" s="1191">
        <f ca="1">AVERAGEIF($BW:$BW,$BW17,$AH:$AH)</f>
        <v>111.75</v>
      </c>
      <c r="CV17" s="228">
        <f ca="1">AVERAGEIFS($AH:$AH,$BW:$BW,$BW17,$BX:$BX,$BX17)</f>
        <v>111.75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2920.75</v>
      </c>
      <c r="DH17" s="1218">
        <f ca="1">AVERAGEIFS($AM:$AM,$BW:$BW,$BW17,$BX:$BX,$BX17)</f>
        <v>2920.75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8.0281133793910122</v>
      </c>
      <c r="ER17" s="1218">
        <f ca="1">AVERAGEIFS($BH:$BH,$BW:$BW,$BW17,$BX:$BX,$BX17)</f>
        <v>8.0281133793910122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372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674</v>
      </c>
      <c r="AC18" s="224">
        <f>IF(ISNUMBER(Datos!Q18),Datos!Q18," - ")</f>
        <v>0</v>
      </c>
      <c r="AD18" s="224"/>
      <c r="AE18" s="224"/>
      <c r="AF18" s="224">
        <f>IF(ISNUMBER(Datos!L18),Datos!L18,"-")</f>
        <v>331</v>
      </c>
      <c r="AG18" s="333"/>
      <c r="AH18" s="224"/>
      <c r="AI18" s="224"/>
      <c r="AJ18" s="1214"/>
      <c r="AK18" s="333"/>
      <c r="AL18" s="478"/>
      <c r="AM18" s="1214">
        <f>IF(ISNUMBER(Datos!R18),Datos!R18," - ")</f>
        <v>10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11</v>
      </c>
      <c r="BD18" s="228">
        <f>IF(ISNUMBER(Datos!N18),Datos!N18," - ")</f>
        <v>441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1.0732484076433122</v>
      </c>
      <c r="BH18" s="1214">
        <f>IF(ISNUMBER(((IF(D_I="SI",Datos!L18/Datos!K18,(Datos!L18+Datos!AF18)/(Datos!K18+Datos!AE18)))*11)/factor_trimestre),((IF(D_I="SI",Datos!L18/Datos!K18,(Datos!L18+Datos!AF18)/(Datos!K18+Datos!AE18)))*11)/factor_trimestre," - ")</f>
        <v>1.4732937685459941</v>
      </c>
      <c r="BI18" s="242">
        <f>IF(ISNUMBER('Resol  Asuntos'!D18/NºAsuntos!G18),'Resol  Asuntos'!D18/NºAsuntos!G18," - ")</f>
        <v>1.6320474777448073E-2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1178.3665425416732</v>
      </c>
      <c r="CF18" s="228">
        <f ca="1">AVERAGEIFS($AB:$AB,$BW:$BW,BW18,$BX:$BX,BX18)</f>
        <v>1178.3665425416732</v>
      </c>
      <c r="CG18" s="1191">
        <v>0.7</v>
      </c>
      <c r="CH18" s="1191">
        <f ca="1">AVERAGEIF($BW:$BW,BW18,$AC:$AC)</f>
        <v>98.5</v>
      </c>
      <c r="CI18" s="228">
        <f ca="1">AVERAGEIFS($AC:$AC,$BW:$BW,BW18,$BX:$BX,BX18)</f>
        <v>98.5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1623.9</v>
      </c>
      <c r="CR18" s="228">
        <f ca="1">AVERAGEIFS($AF:$AF,$BW:$BW,BW18,$BX:$BX,BX18)</f>
        <v>1623.9</v>
      </c>
      <c r="CS18" s="1191">
        <v>1.3</v>
      </c>
      <c r="CT18" s="1191">
        <v>1.5</v>
      </c>
      <c r="CU18" s="1191">
        <f ca="1">AVERAGEIF($BW:$BW,$BW18,$AH:$AH)</f>
        <v>111.75</v>
      </c>
      <c r="CV18" s="228">
        <f ca="1">AVERAGEIFS($AH:$AH,$BW:$BW,$BW18,$BX:$BX,$BX18)</f>
        <v>111.75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2920.75</v>
      </c>
      <c r="DH18" s="1218">
        <f ca="1">AVERAGEIFS($AM:$AM,$BW:$BW,$BW18,$BX:$BX,$BX18)</f>
        <v>2920.75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8.0281133793910122</v>
      </c>
      <c r="ER18" s="1218">
        <f ca="1">AVERAGEIFS($BH:$BH,$BW:$BW,$BW18,$BX:$BX,$BX18)</f>
        <v>8.0281133793910122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4828</v>
      </c>
      <c r="G19" s="895">
        <f>SUBTOTAL(9,G15:G18)</f>
        <v>5183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111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3774</v>
      </c>
      <c r="AC19" s="896">
        <f t="shared" si="5"/>
        <v>111</v>
      </c>
      <c r="AD19" s="896">
        <f t="shared" si="5"/>
        <v>0</v>
      </c>
      <c r="AE19" s="896">
        <f t="shared" si="5"/>
        <v>0</v>
      </c>
      <c r="AF19" s="896">
        <f t="shared" si="5"/>
        <v>5264</v>
      </c>
      <c r="AG19" s="896">
        <f t="shared" si="5"/>
        <v>0</v>
      </c>
      <c r="AH19" s="896">
        <f t="shared" si="5"/>
        <v>0</v>
      </c>
      <c r="AI19" s="896">
        <f t="shared" si="5"/>
        <v>0</v>
      </c>
      <c r="AJ19" s="896">
        <f t="shared" si="5"/>
        <v>0</v>
      </c>
      <c r="AK19" s="896">
        <f t="shared" si="5"/>
        <v>0</v>
      </c>
      <c r="AL19" s="896">
        <f t="shared" si="5"/>
        <v>0</v>
      </c>
      <c r="AM19" s="896">
        <f t="shared" si="5"/>
        <v>563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413</v>
      </c>
      <c r="BD19" s="896">
        <f t="shared" si="5"/>
        <v>2440</v>
      </c>
      <c r="BE19" s="896">
        <f t="shared" si="5"/>
        <v>0</v>
      </c>
      <c r="BF19" s="896">
        <f t="shared" si="5"/>
        <v>0</v>
      </c>
      <c r="BG19" s="896">
        <f>IF(ISNUMBER(Datos!K19/Datos!J19),Datos!K19/Datos!J19," - ")</f>
        <v>0.98460735716149228</v>
      </c>
      <c r="BH19" s="900">
        <f>IF(ISNUMBER(((Datos!L19/Datos!K19)*11)/factor_trimestre),((Datos!L19/Datos!K19)*11)/factor_trimestre," - ")</f>
        <v>4.1844197138314794</v>
      </c>
      <c r="BI19" s="896">
        <f>SUBTOTAL(9,BI15:BI18)</f>
        <v>0.286434992882106</v>
      </c>
      <c r="BJ19" s="896">
        <f>SUBTOTAL(9,BJ15:BJ18)</f>
        <v>0</v>
      </c>
      <c r="BK19" s="896">
        <f>SUBTOTAL(9,BK15:BK18)</f>
        <v>0</v>
      </c>
      <c r="BL19" s="896">
        <f>IF(ISNUMBER((I19-AB19+L19)/(F19)),(I19-AB19+L19)/(F19)," - ")</f>
        <v>-0.78169014084507038</v>
      </c>
      <c r="BM19" s="902">
        <f>IF(ISNUMBER((Datos!P19-Datos!Q19)/(Datos!R19-Datos!P19+Datos!Q19)),(Datos!P19-Datos!Q19)/(Datos!R19-Datos!P19+Datos!Q19)," - ")</f>
        <v>0</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14</v>
      </c>
      <c r="F20" s="817">
        <f t="shared" si="7"/>
        <v>4967</v>
      </c>
      <c r="G20" s="817">
        <f t="shared" si="7"/>
        <v>5322</v>
      </c>
      <c r="H20" s="819">
        <f t="shared" si="7"/>
        <v>0</v>
      </c>
      <c r="I20" s="817">
        <f t="shared" si="7"/>
        <v>0</v>
      </c>
      <c r="J20" s="819">
        <f t="shared" si="7"/>
        <v>0</v>
      </c>
      <c r="K20" s="819">
        <f t="shared" si="7"/>
        <v>0</v>
      </c>
      <c r="L20" s="878">
        <f t="shared" si="7"/>
        <v>0</v>
      </c>
      <c r="M20" s="878">
        <f t="shared" si="7"/>
        <v>0</v>
      </c>
      <c r="N20" s="878">
        <f t="shared" si="7"/>
        <v>249</v>
      </c>
      <c r="O20" s="878">
        <f t="shared" si="7"/>
        <v>0</v>
      </c>
      <c r="P20" s="878">
        <f t="shared" si="7"/>
        <v>0</v>
      </c>
      <c r="Q20" s="819">
        <f t="shared" si="7"/>
        <v>567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3816</v>
      </c>
      <c r="AC20" s="818">
        <f t="shared" si="8"/>
        <v>394</v>
      </c>
      <c r="AD20" s="818">
        <f t="shared" si="8"/>
        <v>0</v>
      </c>
      <c r="AE20" s="818">
        <f t="shared" si="8"/>
        <v>0</v>
      </c>
      <c r="AF20" s="825">
        <f t="shared" si="8"/>
        <v>5413</v>
      </c>
      <c r="AG20" s="825">
        <f t="shared" si="8"/>
        <v>0</v>
      </c>
      <c r="AH20" s="825">
        <f t="shared" si="8"/>
        <v>298</v>
      </c>
      <c r="AI20" s="825">
        <f t="shared" si="8"/>
        <v>0</v>
      </c>
      <c r="AJ20" s="818">
        <f t="shared" si="8"/>
        <v>0</v>
      </c>
      <c r="AK20" s="825">
        <f t="shared" si="8"/>
        <v>0</v>
      </c>
      <c r="AL20" s="825">
        <f t="shared" si="8"/>
        <v>0</v>
      </c>
      <c r="AM20" s="825">
        <f t="shared" si="8"/>
        <v>11683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902</v>
      </c>
      <c r="BD20" s="817">
        <f t="shared" si="8"/>
        <v>3567</v>
      </c>
      <c r="BE20" s="817">
        <f t="shared" si="8"/>
        <v>0</v>
      </c>
      <c r="BF20" s="827">
        <f t="shared" si="8"/>
        <v>0</v>
      </c>
      <c r="BG20" s="912">
        <f>IF(ISNUMBER(Datos!K20/Datos!J20),Datos!K20/Datos!J20," - ")</f>
        <v>0.92464935840047746</v>
      </c>
      <c r="BH20" s="912">
        <f>IF(ISNUMBER(((Datos!L20/Datos!K20)*11)/factor_trimestre),((Datos!L20/Datos!K20)*11)/factor_trimestre," - ")</f>
        <v>10.353558173309667</v>
      </c>
      <c r="BI20" s="810">
        <f>IF(ISNUMBER(Datos!J20/Datos!I20),Datos!J20/Datos!I20," - ")</f>
        <v>0.32130015820509134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-0.76827058586672037</v>
      </c>
      <c r="BM20" s="886">
        <f>IF(ISNUMBER((Datos!P20-Datos!Q20+R20)/(Datos!R20-Datos!P20+Datos!Q20-R20)),(Datos!P20-Datos!Q20+R20)/(Datos!R20-Datos!P20+Datos!Q20-R20)," - ")</f>
        <v>1.5030408340573415E-2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1774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3.011090610836324</v>
      </c>
      <c r="F22" s="550">
        <f>IF(ISNUMBER(STDEV(F8:F19)),STDEV(F8:F19),"-")</f>
        <v>1981.0727397044259</v>
      </c>
      <c r="G22" s="551">
        <f>IF(ISNUMBER(STDEV(G8:G19)),STDEV(G8:G19),"-")</f>
        <v>2008.1981973898892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1514.0319679584047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182.51262187272732</v>
      </c>
      <c r="BD22" s="550"/>
      <c r="BE22" s="550">
        <f>IF(ISNUMBER(STDEV(BE8:BE19)),STDEV(BE8:BE19),"-")</f>
        <v>0</v>
      </c>
      <c r="BF22" s="555">
        <f>IF(ISNUMBER(STDEV(BF8:BF19)),STDEV(BF8:BF19),"-")</f>
        <v>0</v>
      </c>
      <c r="BG22" s="772">
        <f>IF(ISNUMBER(STDEV(BG8:BG19)),STDEV(BG8:BG19),"-")</f>
        <v>1.7153481620450524</v>
      </c>
      <c r="BH22" s="773">
        <f>IF(ISNUMBER(STDEV(BH8:BH19)),STDEV(BH8:BH19),"-")</f>
        <v>7.4305567006138462</v>
      </c>
      <c r="BI22" s="248">
        <f>IF(ISNUMBER(STDEV(BI8:BI19)),STDEV(BI8:BI19),"-")</f>
        <v>9.7538600112307666E-2</v>
      </c>
      <c r="BJ22" s="1415" t="str">
        <f>IF(ISNUMBER(BL22/BM22),BL22/BM22," - ")</f>
        <v xml:space="preserve"> - </v>
      </c>
      <c r="BK22" s="574"/>
      <c r="BL22" s="558">
        <f>IF(ISNUMBER(STDEV(BL8:BL19)),STDEV(BL8:BL19),"-")</f>
        <v>0.33908023527868431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EdsWPjGjVwwuYJmyglas2b9Ixu1pEmj60c9PUgdCRsn17mr19IR/ff+zAd5k66Y3gaUM8z3ovNJAHaiSqAcCDA==" saltValue="WixeL+uxBNpXwpesckx1W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MADRID</v>
      </c>
    </row>
    <row r="2" spans="1:146" ht="16.5" customHeight="1">
      <c r="C2" s="487" t="str">
        <f>Criterios!A10 &amp;"  "&amp;Criterios!B10 &amp; "  " &amp; IF(NOT(ISBLANK(Criterios!A11)),Criterios!A11 &amp;"  "&amp;Criterios!B11,"")</f>
        <v>Provincias  MADRID  Resumenes por Partidos Judiciales  ARGANDA DEL REY</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0.18097705403404885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0.12797010214664017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EfUbxCPXqQUOUGed1wtwi1DLB83ca2FWvdLSn6dIX8KSlk/Yu4BXe8lpkZSLmKKHD3yEYTz/8ffYDJBzCPPRbA==" saltValue="uyszeP+ytX6n1oF8Wj1nd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MADRID</v>
      </c>
      <c r="B4" s="1461" t="str">
        <f>IF(Criterios!B10=0,"",Criterios!B10)</f>
        <v>MADRID</v>
      </c>
      <c r="C4" s="1461" t="str">
        <f>IF(Criterios!B11=0,"",Criterios!B11)</f>
        <v>ARGANDA DEL REY</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mDyMaer4L6gFXoRa5D5jhQrGvcgTNaMbsHeCWi667ZefcN9zi+9WjVaBaMkXW2gS+5qqnaKa+wisLGHRJLPn2Q==" saltValue="eCg0gfO1PRlSQ1Jt3/+RP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MADRID</v>
      </c>
      <c r="C2" s="374"/>
      <c r="E2" s="374"/>
      <c r="F2" s="374"/>
      <c r="G2" s="374"/>
      <c r="H2" s="374"/>
    </row>
    <row r="3" spans="1:16" ht="39">
      <c r="A3" s="414" t="s">
        <v>219</v>
      </c>
      <c r="B3" s="390" t="str">
        <f>Criterios!A10 &amp;"  "&amp;Criterios!B10</f>
        <v>Provincias  MADRID</v>
      </c>
      <c r="C3" s="414"/>
      <c r="F3" s="374"/>
      <c r="G3" s="374"/>
      <c r="H3" s="374"/>
    </row>
    <row r="4" spans="1:16" ht="13.5" thickBot="1">
      <c r="A4" s="374"/>
      <c r="B4" s="390" t="str">
        <f>Criterios!A11 &amp;"  "&amp;Criterios!B11</f>
        <v>Resumenes por Partidos Judiciales  ARGANDA DEL REY</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6</v>
      </c>
      <c r="D9" s="402">
        <f>Datos!BK9</f>
        <v>0</v>
      </c>
      <c r="E9" s="402">
        <f>Datos!AQ9</f>
        <v>6</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f>IF(ISNUMBER(E12/Datos!BH12),E12/Datos!BH12," - ")</f>
        <v>0</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2</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IS2JA/1nQxoV5fTpfK4LOTt1Xu1NBqENOdI+VZvlH2M8vgvPRAbtFuSiUBKT70OUk5ryoerbCgxfazdKdSD0LQ==" saltValue="KtvI46w368TJ5I11PS1yW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ARGANDA DEL REY</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6</v>
      </c>
      <c r="C9" s="409">
        <f>Datos!AQ9</f>
        <v>6</v>
      </c>
      <c r="D9" s="402">
        <f>IF(ISNUMBER(Datos!M9),Datos!M9," - ")</f>
        <v>321</v>
      </c>
      <c r="E9" s="403">
        <f t="shared" ref="E9:E13" si="0">IF(ISNUMBER(D9/B9),D9/B9," - ")</f>
        <v>53.5</v>
      </c>
      <c r="F9" s="402">
        <f>IF(ISNUMBER(Datos!N9),Datos!N9," - ")</f>
        <v>729</v>
      </c>
      <c r="G9" s="403">
        <f t="shared" ref="G9:G13" si="1">IF(ISNUMBER(F9/B9),F9/B9," - ")</f>
        <v>121.5</v>
      </c>
      <c r="H9" s="402">
        <f>IF(ISNUMBER(Datos!O9),Datos!O9," - ")</f>
        <v>518</v>
      </c>
      <c r="I9" s="403">
        <f>IF(ISNUMBER(H9/B9),H9/B9," - ")</f>
        <v>86.333333333333329</v>
      </c>
      <c r="BZ9" s="1181">
        <f>Datos!EZ9</f>
        <v>0</v>
      </c>
    </row>
    <row r="10" spans="1:78">
      <c r="A10" s="401" t="str">
        <f>Datos!A10</f>
        <v>Sección De Violencia sobre la Mujer del TI</v>
      </c>
      <c r="B10" s="426">
        <f>Datos!AO10</f>
        <v>2</v>
      </c>
      <c r="C10" s="409">
        <f>Datos!AQ10</f>
        <v>2</v>
      </c>
      <c r="D10" s="402">
        <f>IF(ISNUMBER(Datos!M10),Datos!M10," - ")</f>
        <v>19</v>
      </c>
      <c r="E10" s="403">
        <f>IF(ISNUMBER(D10/B10),D10/B10," - ")</f>
        <v>9.5</v>
      </c>
      <c r="F10" s="402">
        <f>IF(ISNUMBER(Datos!N10),Datos!N10," - ")</f>
        <v>10</v>
      </c>
      <c r="G10" s="403">
        <f>IF(ISNUMBER(F10/B10),F10/B10," - ")</f>
        <v>5</v>
      </c>
      <c r="H10" s="402">
        <f>IF(ISNUMBER(Datos!O10),Datos!O10," - ")</f>
        <v>8</v>
      </c>
      <c r="I10" s="403">
        <f t="shared" ref="I10:I12" si="2">IF(ISNUMBER(H10/B10),H10/B10," - ")</f>
        <v>4</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0</v>
      </c>
      <c r="C12" s="409">
        <f>Datos!AQ12</f>
        <v>0</v>
      </c>
      <c r="D12" s="402">
        <f>IF(ISNUMBER(Datos!M12),Datos!M12," - ")</f>
        <v>149</v>
      </c>
      <c r="E12" s="403" t="str">
        <f t="shared" si="0"/>
        <v xml:space="preserve"> - </v>
      </c>
      <c r="F12" s="402">
        <f>IF(ISNUMBER(Datos!N12),Datos!N12," - ")</f>
        <v>388</v>
      </c>
      <c r="G12" s="403" t="str">
        <f t="shared" si="1"/>
        <v xml:space="preserve"> - </v>
      </c>
      <c r="H12" s="402">
        <f>IF(ISNUMBER(Datos!O12),Datos!O12," - ")</f>
        <v>337</v>
      </c>
      <c r="I12" s="403" t="str">
        <f t="shared" si="2"/>
        <v xml:space="preserve"> - </v>
      </c>
      <c r="BZ12" s="1181">
        <f>Datos!EZ12</f>
        <v>0</v>
      </c>
    </row>
    <row r="13" spans="1:78" ht="14.25" thickTop="1" thickBot="1">
      <c r="A13" s="845" t="str">
        <f>Datos!A13</f>
        <v>TOTAL</v>
      </c>
      <c r="B13" s="846">
        <f>Datos!AP13</f>
        <v>8</v>
      </c>
      <c r="C13" s="848">
        <f>Datos!AR13</f>
        <v>8</v>
      </c>
      <c r="D13" s="846">
        <f>SUBTOTAL(9,D9:D12)</f>
        <v>489</v>
      </c>
      <c r="E13" s="847">
        <f t="shared" si="0"/>
        <v>61.125</v>
      </c>
      <c r="F13" s="846">
        <f>SUBTOTAL(9,F9:F12)</f>
        <v>1127</v>
      </c>
      <c r="G13" s="847">
        <f t="shared" si="1"/>
        <v>140.875</v>
      </c>
      <c r="H13" s="846">
        <f>SUBTOTAL(9,H9:H12)</f>
        <v>863</v>
      </c>
      <c r="I13" s="847">
        <f>IF(ISNUMBER(H13/B13),H13/B13," - ")</f>
        <v>107.875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310</v>
      </c>
      <c r="E15" s="403">
        <f t="shared" ref="E15:E19" si="3">IF(ISNUMBER(D15/B15),D15/B15," - ")</f>
        <v>77.5</v>
      </c>
      <c r="F15" s="402">
        <f>IF(ISNUMBER(Datos!N15),Datos!N15," - ")</f>
        <v>1665</v>
      </c>
      <c r="G15" s="403">
        <f t="shared" ref="G15:G19" si="4">IF(ISNUMBER(F15/B15),F15/B15," - ")</f>
        <v>416.25</v>
      </c>
      <c r="H15" s="402">
        <f>IF(ISNUMBER(Datos!O15),Datos!O15," - ")</f>
        <v>21</v>
      </c>
      <c r="I15" s="403">
        <f t="shared" ref="I15:I18" si="5">IF(ISNUMBER(H15/B15),H15/B15," - ")</f>
        <v>5.25</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f>IF(ISNUMBER(Datos!M17),Datos!M17," - ")</f>
        <v>92</v>
      </c>
      <c r="E17" s="403" t="str">
        <f t="shared" si="3"/>
        <v xml:space="preserve"> - </v>
      </c>
      <c r="F17" s="402">
        <f>IF(ISNUMBER(Datos!N17),Datos!N17," - ")</f>
        <v>334</v>
      </c>
      <c r="G17" s="403" t="str">
        <f t="shared" si="4"/>
        <v xml:space="preserve"> - </v>
      </c>
      <c r="H17" s="402">
        <f>IF(ISNUMBER(Datos!O17),Datos!O17," - ")</f>
        <v>14</v>
      </c>
      <c r="I17" s="403" t="str">
        <f t="shared" si="5"/>
        <v xml:space="preserve"> - </v>
      </c>
      <c r="BZ17" s="1181">
        <f>Datos!EZ17</f>
        <v>0</v>
      </c>
    </row>
    <row r="18" spans="1:78" ht="13.5" thickBot="1">
      <c r="A18" s="401" t="str">
        <f>Datos!A18</f>
        <v>Sección De Violencia sobre la Mujer del TI</v>
      </c>
      <c r="B18" s="426">
        <f>Datos!AO18</f>
        <v>2</v>
      </c>
      <c r="C18" s="427">
        <f>Datos!AQ18</f>
        <v>2</v>
      </c>
      <c r="D18" s="402">
        <f>IF(ISNUMBER(Datos!M18),Datos!M18," - ")</f>
        <v>11</v>
      </c>
      <c r="E18" s="403">
        <f>IF(ISNUMBER(D18/B18),D18/B18," - ")</f>
        <v>5.5</v>
      </c>
      <c r="F18" s="402">
        <f>IF(ISNUMBER(Datos!N18),Datos!N18," - ")</f>
        <v>441</v>
      </c>
      <c r="G18" s="403">
        <f>IF(ISNUMBER(F18/B18),F18/B18," - ")</f>
        <v>220.5</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413</v>
      </c>
      <c r="E19" s="847">
        <f t="shared" si="3"/>
        <v>68.833333333333329</v>
      </c>
      <c r="F19" s="846">
        <f>SUBTOTAL(9,F15:F18)</f>
        <v>2440</v>
      </c>
      <c r="G19" s="847">
        <f t="shared" si="4"/>
        <v>406.66666666666669</v>
      </c>
      <c r="H19" s="846">
        <f>SUBTOTAL(9,H15:H18)</f>
        <v>35</v>
      </c>
      <c r="I19" s="847">
        <f>IF(ISNUMBER(H19/B19),H19/B19," - ")</f>
        <v>5.833333333333333</v>
      </c>
      <c r="BZ19" s="1181"/>
    </row>
    <row r="20" spans="1:78" ht="14.25" thickTop="1" thickBot="1">
      <c r="A20" s="790" t="str">
        <f>Datos!A20</f>
        <v>TOTAL JURISDICCIONES</v>
      </c>
      <c r="B20" s="791">
        <f>Datos!AP20</f>
        <v>12</v>
      </c>
      <c r="C20" s="791">
        <f>Datos!AR20</f>
        <v>12</v>
      </c>
      <c r="D20" s="791">
        <f>SUBTOTAL(9,D8:D19)</f>
        <v>902</v>
      </c>
      <c r="E20" s="792">
        <f>IF(ISNUMBER(D20/B20),D20/B20," - ")</f>
        <v>75.166666666666671</v>
      </c>
      <c r="F20" s="791">
        <f>SUBTOTAL(9,F8:F19)</f>
        <v>3567</v>
      </c>
      <c r="G20" s="792">
        <f>IF(ISNUMBER(F20/B20),F20/B20," - ")</f>
        <v>297.25</v>
      </c>
      <c r="H20" s="791">
        <f>SUBTOTAL(9,H8:H19)</f>
        <v>898</v>
      </c>
      <c r="I20" s="792">
        <f>IF(ISNUMBER(H20/B20),H20/B20," - ")</f>
        <v>74.833333333333329</v>
      </c>
    </row>
    <row r="23" spans="1:78">
      <c r="A23" s="390" t="str">
        <f>Criterios!A4</f>
        <v>Fecha Informe: 18 jun. 2026</v>
      </c>
    </row>
    <row r="28" spans="1:78">
      <c r="A28" s="413"/>
    </row>
  </sheetData>
  <sheetProtection algorithmName="SHA-512" hashValue="40okl9EHC6kh8EYzcPplQiCZBKO2qeTr3FwcjL9nyzvx8bM936aTD81FlwHL9z+dJyzwK75QFC/CN5QTDWR3dw==" saltValue="lleHmbtA7RjIV88JjMMh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ARGANDA DEL REY</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281</v>
      </c>
      <c r="C9" s="433">
        <f>IF(ISNUMBER(Datos!Q9),Datos!Q9," - ")</f>
        <v>153</v>
      </c>
      <c r="D9" s="407">
        <f>IF(ISNUMBER(Datos!R9),Datos!R9," - ")</f>
        <v>6599</v>
      </c>
    </row>
    <row r="10" spans="1:4">
      <c r="A10" s="401" t="str">
        <f>Datos!A10</f>
        <v>Sección De Violencia sobre la Mujer del TI</v>
      </c>
      <c r="B10" s="432">
        <f>IF(ISNUMBER(Datos!P10),Datos!P10," - ")</f>
        <v>7</v>
      </c>
      <c r="C10" s="433">
        <f>IF(ISNUMBER(Datos!Q10),Datos!Q10," - ")</f>
        <v>8</v>
      </c>
      <c r="D10" s="407">
        <f>IF(ISNUMBER(Datos!R10),Datos!R10," - ")</f>
        <v>67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168</v>
      </c>
      <c r="C12" s="433">
        <f>IF(ISNUMBER(Datos!Q12),Datos!Q12," - ")</f>
        <v>122</v>
      </c>
      <c r="D12" s="407">
        <f>IF(ISNUMBER(Datos!R12),Datos!R12," - ")</f>
        <v>4454</v>
      </c>
    </row>
    <row r="13" spans="1:4" ht="14.25" thickTop="1" thickBot="1">
      <c r="A13" s="845" t="str">
        <f>Datos!A13</f>
        <v>TOTAL</v>
      </c>
      <c r="B13" s="846">
        <f>SUBTOTAL(9,B9:B12)</f>
        <v>456</v>
      </c>
      <c r="C13" s="850">
        <f>SUBTOTAL(9,C9:C12)</f>
        <v>283</v>
      </c>
      <c r="D13" s="848">
        <f>SUBTOTAL(9,D9:D12)</f>
        <v>11120</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65</v>
      </c>
      <c r="C15" s="433">
        <f>IF(ISNUMBER(Datos!Q15),Datos!Q15," - ")</f>
        <v>45</v>
      </c>
      <c r="D15" s="407">
        <f>IF(ISNUMBER(Datos!R15),Datos!R15," - ")</f>
        <v>238</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46</v>
      </c>
      <c r="C17" s="433">
        <f>IF(ISNUMBER(Datos!Q17),Datos!Q17," - ")</f>
        <v>66</v>
      </c>
      <c r="D17" s="407">
        <f>IF(ISNUMBER(Datos!R17),Datos!R17," - ")</f>
        <v>315</v>
      </c>
    </row>
    <row r="18" spans="1:4" ht="13.5" thickBot="1">
      <c r="A18" s="401" t="str">
        <f>Datos!A18</f>
        <v>Sección De Violencia sobre la Mujer del TI</v>
      </c>
      <c r="B18" s="432">
        <f>IF(ISNUMBER(Datos!P18),Datos!P18," - ")</f>
        <v>0</v>
      </c>
      <c r="C18" s="433">
        <f>IF(ISNUMBER(Datos!Q18),Datos!Q18," - ")</f>
        <v>0</v>
      </c>
      <c r="D18" s="407">
        <f>IF(ISNUMBER(Datos!R18),Datos!R18," - ")</f>
        <v>10</v>
      </c>
    </row>
    <row r="19" spans="1:4" ht="14.25" thickTop="1" thickBot="1">
      <c r="A19" s="845" t="str">
        <f>Datos!A19</f>
        <v>TOTAL</v>
      </c>
      <c r="B19" s="846">
        <f>SUBTOTAL(9,B15:B18)</f>
        <v>111</v>
      </c>
      <c r="C19" s="850">
        <f>SUBTOTAL(9,C15:C18)</f>
        <v>111</v>
      </c>
      <c r="D19" s="848">
        <f>SUBTOTAL(9,D15:D18)</f>
        <v>563</v>
      </c>
    </row>
    <row r="20" spans="1:4" ht="16.5" customHeight="1" thickTop="1" thickBot="1">
      <c r="A20" s="790" t="str">
        <f>Datos!A20</f>
        <v>TOTAL JURISDICCIONES</v>
      </c>
      <c r="B20" s="795">
        <f>SUBTOTAL(9,B8:B19)</f>
        <v>567</v>
      </c>
      <c r="C20" s="796">
        <f>SUBTOTAL(9,C8:C19)</f>
        <v>394</v>
      </c>
      <c r="D20" s="797">
        <f>SUBTOTAL(9,D8:D19)</f>
        <v>11683</v>
      </c>
    </row>
    <row r="21" spans="1:4" ht="7.5" customHeight="1"/>
    <row r="22" spans="1:4" ht="6" customHeight="1"/>
    <row r="23" spans="1:4">
      <c r="A23" s="390" t="str">
        <f>Criterios!A4</f>
        <v>Fecha Informe: 18 jun. 2026</v>
      </c>
    </row>
    <row r="28" spans="1:4">
      <c r="A28" s="413"/>
    </row>
  </sheetData>
  <sheetProtection algorithmName="SHA-512" hashValue="98iTX24ZAj3aG51xNwDE8tFRlcv2NQFeOSrVs9J9PhTvhZgM4otxZEi3bZKA23GOJchSXZYnGXu9zIbEtBS3ZA==" saltValue="FcRgTE5MqGcRzFMKw5bS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ARGANDA DEL REY</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0.13008130081300814</v>
      </c>
      <c r="C10" s="455">
        <f>IF(ISNUMBER((Datos!J10-Datos!T10)/Datos!T10),(Datos!J10-Datos!T10)/Datos!T10," - ")</f>
        <v>-0.16129032258064516</v>
      </c>
      <c r="D10" s="455">
        <f>IF(ISNUMBER((Datos!K10-Datos!U10)/Datos!U10),(Datos!K10-Datos!U10)/Datos!U10," - ")</f>
        <v>-0.20754716981132076</v>
      </c>
      <c r="E10" s="455">
        <f>IF(ISNUMBER((Datos!L10-Datos!V10)/Datos!V10),(Datos!L10-Datos!V10)/Datos!V10," - ")</f>
        <v>0.12878787878787878</v>
      </c>
      <c r="F10" s="455" t="str">
        <f>IF(ISNUMBER((Datos!M10-Datos!W10)/Datos!W10),(Datos!M10-Datos!W10)/Datos!W10," - ")</f>
        <v xml:space="preserve"> - </v>
      </c>
      <c r="G10" s="456">
        <f>IF(ISNUMBER((Datos!N10-Datos!X10)/Datos!X10),(Datos!N10-Datos!X10)/Datos!X10," - ")</f>
        <v>-0.47368421052631576</v>
      </c>
      <c r="H10" s="454">
        <f>IF(ISNUMBER(((NºAsuntos!G10/NºAsuntos!E10)-Datos!BD10)/Datos!BD10),((NºAsuntos!G10/NºAsuntos!E10)-Datos!BD10)/Datos!BD10," - ")</f>
        <v>-5.5152394775036286E-2</v>
      </c>
      <c r="I10" s="455">
        <f>IF(ISNUMBER(((NºAsuntos!I10/NºAsuntos!G10)-Datos!BE10)/Datos!BE10),((NºAsuntos!I10/NºAsuntos!G10)-Datos!BE10)/Datos!BE10," - ")</f>
        <v>0.42442279942279942</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0.30283140283140281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-0.57311370140294549</v>
      </c>
      <c r="C12" s="455">
        <f>IF(ISNUMBER(
   IF(J_V="SI",(Datos!J12-Datos!T12)/Datos!T12,(Datos!J12+Datos!Z12-(Datos!T12+Datos!AH12))/(Datos!T12+Datos!AH12))
     ),IF(J_V="SI",(Datos!J12-Datos!T12)/Datos!T12,(Datos!J12+Datos!Z12-(Datos!T12+Datos!AH12))/(Datos!T12+Datos!AH12))," - ")</f>
        <v>-0.96536631779257853</v>
      </c>
      <c r="D12" s="455">
        <f>IF(ISNUMBER(
   IF(J_V="SI",(Datos!K12-Datos!U12)/Datos!U12,(Datos!K12+Datos!AA12-(Datos!U12+Datos!AI12))/(Datos!U12+Datos!AI12))
     ),IF(J_V="SI",(Datos!K12-Datos!U12)/Datos!U12,(Datos!K12+Datos!AA12-(Datos!U12+Datos!AI12))/(Datos!U12+Datos!AI12))," - ")</f>
        <v>-0.70372509384926363</v>
      </c>
      <c r="E12" s="455">
        <f>IF(ISNUMBER(
   IF(J_V="SI",(Datos!L12-Datos!V12)/Datos!V12,(Datos!L12+Datos!AB12-(Datos!V12+Datos!AJ12))/(Datos!V12+Datos!AJ12))
     ),IF(J_V="SI",(Datos!L12-Datos!V12)/Datos!V12,(Datos!L12+Datos!AB12-(Datos!V12+Datos!AJ12))/(Datos!V12+Datos!AJ12))," - ")</f>
        <v>-0.67951133531878682</v>
      </c>
      <c r="F12" s="455">
        <f>IF(ISNUMBER((Datos!M12-Datos!W12)/Datos!W12),(Datos!M12-Datos!W12)/Datos!W12," - ")</f>
        <v>-0.73487544483985767</v>
      </c>
      <c r="G12" s="456">
        <f>IF(ISNUMBER((Datos!N12-Datos!X12)/Datos!X12),(Datos!N12-Datos!X12)/Datos!X12," - ")</f>
        <v>-0.78091473743647655</v>
      </c>
      <c r="H12" s="454">
        <f>IF(ISNUMBER(((NºAsuntos!G12/NºAsuntos!E12)-Datos!BD12)/Datos!BD12),((NºAsuntos!G12/NºAsuntos!E12)-Datos!BD12)/Datos!BD12," - ")</f>
        <v>7.5545309440775803</v>
      </c>
      <c r="I12" s="455">
        <f>IF(ISNUMBER(((NºAsuntos!I12/NºAsuntos!G12)-Datos!BE12)/Datos!BE12),((NºAsuntos!I12/NºAsuntos!G12)-Datos!BE12)/Datos!BE12," - ")</f>
        <v>8.1727335078987495E-2</v>
      </c>
      <c r="J12" s="460">
        <f>IF(ISNUMBER((('Resol  Asuntos'!D12/NºAsuntos!G12)-Datos!BF12)/Datos!BF12),(('Resol  Asuntos'!D12/NºAsuntos!G12)-Datos!BF12)/Datos!BF12," - ")</f>
        <v>-0.7160297537871908</v>
      </c>
      <c r="K12" s="461">
        <f>IF(ISNUMBER((((NºAsuntos!C12+NºAsuntos!E12)/NºAsuntos!G12)-Datos!BG12)/Datos!BG12),(((NºAsuntos!C12+NºAsuntos!E12)/NºAsuntos!G12)-Datos!BG12)/Datos!BG12," - ")</f>
        <v>8.5552272515057884E-2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0.10754325259515571</v>
      </c>
      <c r="C13" s="852">
        <f>IF(ISNUMBER(
   IF(J_V="SI",(Datos!J13-Datos!T13)/Datos!T13,(Datos!J13+Datos!Z13-(Datos!T13+Datos!AH13))/(Datos!T13+Datos!AH13))
     ),IF(J_V="SI",(Datos!J13-Datos!T13)/Datos!T13,(Datos!J13+Datos!Z13-(Datos!T13+Datos!AH13))/(Datos!T13+Datos!AH13))," - ")</f>
        <v>-0.41357908595072407</v>
      </c>
      <c r="D13" s="852">
        <f>IF(ISNUMBER(
   IF(J_V="SI",(Datos!K13-Datos!U13)/Datos!U13,(Datos!K13+Datos!AA13-(Datos!U13+Datos!AI13))/(Datos!U13+Datos!AI13))
     ),IF(J_V="SI",(Datos!K13-Datos!U13)/Datos!U13,(Datos!K13+Datos!AA13-(Datos!U13+Datos!AI13))/(Datos!U13+Datos!AI13))," - ")</f>
        <v>-0.23151308304891924</v>
      </c>
      <c r="E13" s="852">
        <f>IF(ISNUMBER(
   IF(J_V="SI",(Datos!L13-Datos!V13)/Datos!V13,(Datos!L13+Datos!AB13-(Datos!V13+Datos!AJ13))/(Datos!V13+Datos!AJ13))
     ),IF(J_V="SI",(Datos!L13-Datos!V13)/Datos!V13,(Datos!L13+Datos!AB13-(Datos!V13+Datos!AJ13))/(Datos!V13+Datos!AJ13))," - ")</f>
        <v>-9.8884534217666565E-3</v>
      </c>
      <c r="F13" s="853">
        <f>IF(ISNUMBER((Datos!M13-Datos!W13)/Datos!W13),(Datos!M13-Datos!W13)/Datos!W13," - ")</f>
        <v>-0.1298932384341637</v>
      </c>
      <c r="G13" s="854">
        <f>IF(ISNUMBER((Datos!N13-Datos!X13)/Datos!X13),(Datos!N13-Datos!X13)/Datos!X13," - ")</f>
        <v>-0.37039106145251399</v>
      </c>
      <c r="H13" s="854">
        <f>IF(ISNUMBER(((NºAsuntos!G13/NºAsuntos!E13)-Datos!BD13)/Datos!BD13),((NºAsuntos!G13/NºAsuntos!E13)-Datos!BD13)/Datos!BD13," - ")</f>
        <v>0.31046983240182685</v>
      </c>
      <c r="I13" s="854">
        <f>IF(ISNUMBER(((NºAsuntos!I13/NºAsuntos!G13)-Datos!BE13)/Datos!BE13),((NºAsuntos!I13/NºAsuntos!G13)-Datos!BE13)/Datos!BE13," - ")</f>
        <v>0.2883908948072052</v>
      </c>
      <c r="J13" s="854">
        <f>IF(ISNUMBER((('Resol  Asuntos'!D13/NºAsuntos!G13)-Datos!BF13)/Datos!BF13),(('Resol  Asuntos'!D13/NºAsuntos!G13)-Datos!BF13)/Datos!BF13," - ")</f>
        <v>-0.6407028108505276</v>
      </c>
      <c r="K13" s="854">
        <f>IF(ISNUMBER((((NºAsuntos!C13+NºAsuntos!E13)/NºAsuntos!G13)-Datos!BG13)/Datos!BG13),(((NºAsuntos!C13+NºAsuntos!E13)/NºAsuntos!G13)-Datos!BG13)/Datos!BG13," - ")</f>
        <v>0.25879808428443013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-0.33248081841432225</v>
      </c>
      <c r="C17" s="455">
        <f>IF(ISNUMBER(
   IF(D_I="SI",(Datos!J17-Datos!T17)/Datos!T17,(Datos!J17+Datos!AD17-(Datos!T17+Datos!AL17))/(Datos!T17+Datos!AL17))
     ),IF(D_I="SI",(Datos!J17-Datos!T17)/Datos!T17,(Datos!J17+Datos!AD17-(Datos!T17+Datos!AL17))/(Datos!T17+Datos!AL17))," - ")</f>
        <v>-0.91653027823240585</v>
      </c>
      <c r="D17" s="455">
        <f>IF(ISNUMBER(
   IF(D_I="SI",(Datos!K17-Datos!U17)/Datos!U17,(Datos!K17+Datos!AE17-(Datos!U17+Datos!AM17))/(Datos!U17+Datos!AM17))
     ),IF(D_I="SI",(Datos!K17-Datos!U17)/Datos!U17,(Datos!K17+Datos!AE17-(Datos!U17+Datos!AM17))/(Datos!U17+Datos!AM17))," - ")</f>
        <v>-0.80068728522336774</v>
      </c>
      <c r="E17" s="455">
        <f>IF(ISNUMBER(
   IF(D_I="SI",(Datos!L17-Datos!V17)/Datos!V17,(Datos!L17+Datos!AF17-(Datos!V17+Datos!AN17))/(Datos!V17+Datos!AN17))
     ),IF(D_I="SI",(Datos!L17-Datos!V17)/Datos!V17,(Datos!L17+Datos!AF17-(Datos!V17+Datos!AN17))/(Datos!V17+Datos!AN17))," - ")</f>
        <v>-0.40964995269631033</v>
      </c>
      <c r="F17" s="455">
        <f>IF(ISNUMBER((Datos!M17-Datos!W17)/Datos!W17),(Datos!M17-Datos!W17)/Datos!W17," - ")</f>
        <v>-0.74229691876750703</v>
      </c>
      <c r="G17" s="456">
        <f>IF(ISNUMBER((Datos!N17-Datos!X17)/Datos!X17),(Datos!N17-Datos!X17)/Datos!X17," - ")</f>
        <v>-0.84282352941176475</v>
      </c>
      <c r="H17" s="454">
        <f>IF(ISNUMBER(((NºAsuntos!G17/NºAsuntos!E17)-Datos!BD17)/Datos!BD17),((NºAsuntos!G17/NºAsuntos!E17)-Datos!BD17)/Datos!BD17," - ")</f>
        <v>1.3878444848729872</v>
      </c>
      <c r="I17" s="455">
        <f>IF(ISNUMBER(((NºAsuntos!I17/NºAsuntos!G17)-Datos!BE17)/Datos!BE17),((NºAsuntos!I17/NºAsuntos!G17)-Datos!BE17)/Datos!BE17," - ")</f>
        <v>1.9619286856098912</v>
      </c>
      <c r="J17" s="460">
        <f>IF(ISNUMBER((('Resol  Asuntos'!D17/NºAsuntos!G17)-Datos!BF17)/Datos!BF17),(('Resol  Asuntos'!D17/NºAsuntos!G17)-Datos!BF17)/Datos!BF17," - ")</f>
        <v>0.29295856273543902</v>
      </c>
      <c r="K17" s="461">
        <f>IF(ISNUMBER((((NºAsuntos!C17+NºAsuntos!E17)/NºAsuntos!G17)-Datos!BG17)/Datos!BG17),(((NºAsuntos!C17+NºAsuntos!E17)/NºAsuntos!G17)-Datos!BG17)/Datos!BG17," - ")</f>
        <v>1.132122967879845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-2.3622047244094488E-2</v>
      </c>
      <c r="C18" s="455">
        <f>IF(ISNUMBER(
   IF(D_I="SI",(Datos!J18-Datos!T18)/Datos!T18,(Datos!J18+Datos!AD18-(Datos!T18+Datos!AL18))/(Datos!T18+Datos!AL18))
     ),IF(D_I="SI",(Datos!J18-Datos!T18)/Datos!T18,(Datos!J18+Datos!AD18-(Datos!T18+Datos!AL18))/(Datos!T18+Datos!AL18))," - ")</f>
        <v>0.23622047244094488</v>
      </c>
      <c r="D18" s="455">
        <f>IF(ISNUMBER(
   IF(D_I="SI",(Datos!K18-Datos!U18)/Datos!U18,(Datos!K18+Datos!AE18-(Datos!U18+Datos!AM18))/(Datos!U18+Datos!AM18))
     ),IF(D_I="SI",(Datos!K18-Datos!U18)/Datos!U18,(Datos!K18+Datos!AE18-(Datos!U18+Datos!AM18))/(Datos!U18+Datos!AM18))," - ")</f>
        <v>0.10491803278688525</v>
      </c>
      <c r="E18" s="455">
        <f>IF(ISNUMBER(
   IF(D_I="SI",(Datos!L18-Datos!V18)/Datos!V18,(Datos!L18+Datos!AF18-(Datos!V18+Datos!AN18))/(Datos!V18+Datos!AN18))
     ),IF(D_I="SI",(Datos!L18-Datos!V18)/Datos!V18,(Datos!L18+Datos!AF18-(Datos!V18+Datos!AN18))/(Datos!V18+Datos!AN18))," - ")</f>
        <v>0.15331010452961671</v>
      </c>
      <c r="F18" s="455">
        <f>IF(ISNUMBER((Datos!M18-Datos!W18)/Datos!W18),(Datos!M18-Datos!W18)/Datos!W18," - ")</f>
        <v>-0.15384615384615385</v>
      </c>
      <c r="G18" s="456">
        <f>IF(ISNUMBER((Datos!N18-Datos!X18)/Datos!X18),(Datos!N18-Datos!X18)/Datos!X18," - ")</f>
        <v>0.57499999999999996</v>
      </c>
      <c r="H18" s="454">
        <f>IF(ISNUMBER(((NºAsuntos!G18/NºAsuntos!E18)-Datos!BD18)/Datos!BD18),((NºAsuntos!G18/NºAsuntos!E18)-Datos!BD18)/Datos!BD18," - ")</f>
        <v>-0.10621280150360236</v>
      </c>
      <c r="I18" s="455">
        <f>IF(ISNUMBER(((NºAsuntos!I18/NºAsuntos!G18)-Datos!BE18)/Datos!BE18),((NºAsuntos!I18/NºAsuntos!G18)-Datos!BE18)/Datos!BE18," - ")</f>
        <v>4.3796978876952927E-2</v>
      </c>
      <c r="J18" s="460">
        <f>IF(ISNUMBER((('Resol  Asuntos'!D18/NºAsuntos!G18)-Datos!BF18)/Datos!BF18),(('Resol  Asuntos'!D18/NºAsuntos!G18)-Datos!BF18)/Datos!BF18," - ")</f>
        <v>-0.23419310659666731</v>
      </c>
      <c r="K18" s="461">
        <f>IF(ISNUMBER((((NºAsuntos!C18+NºAsuntos!E18)/NºAsuntos!G18)-Datos!BG18)/Datos!BG18),(((NºAsuntos!C18+NºAsuntos!E18)/NºAsuntos!G18)-Datos!BG18)/Datos!BG18," - ")</f>
        <v>1.804781820670032E-2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0.10700555318240068</v>
      </c>
      <c r="C19" s="852">
        <f>IF(ISNUMBER(
   IF(Criterios!B14="SI",(Datos!J19-Datos!T19)/Datos!T19,(Datos!J19+Datos!AD19-(Datos!T19+Datos!AL19))/(Datos!T19+Datos!AL19))
     ),IF(Criterios!B14="SI",(Datos!J19-Datos!T19)/Datos!T19,(Datos!J19+Datos!AD19-(Datos!T19+Datos!AL19))/(Datos!T19+Datos!AL19))," - ")</f>
        <v>7.5778838057816447E-2</v>
      </c>
      <c r="D19" s="852">
        <f>IF(ISNUMBER(
   IF(Criterios!B14="SI",(Datos!K19-Datos!U19)/Datos!U19,(Datos!K19+Datos!AE19-(Datos!U19+Datos!AM19))/(Datos!U19+Datos!AM19))
     ),IF(Criterios!B14="SI",(Datos!K19-Datos!U19)/Datos!U19,(Datos!K19+Datos!AE19-(Datos!U19+Datos!AM19))/(Datos!U19+Datos!AM19))," - ")</f>
        <v>-9.7087378640776691E-3</v>
      </c>
      <c r="E19" s="852">
        <f>IF(ISNUMBER(
   IF(Criterios!B14="SI",(Datos!L19-Datos!V19)/Datos!V19,(Datos!L19+Datos!AF19-(Datos!V19+Datos!AN19))/(Datos!V19+Datos!AN19))
     ),IF(Criterios!B14="SI",(Datos!L19-Datos!V19)/Datos!V19,(Datos!L19+Datos!AF19-(Datos!V19+Datos!AN19))/(Datos!V19+Datos!AN19))," - ")</f>
        <v>0.16589147286821707</v>
      </c>
      <c r="F19" s="853">
        <f>IF(ISNUMBER((Datos!M19-Datos!W19)/Datos!W19),(Datos!M19-Datos!W19)/Datos!W19," - ")</f>
        <v>0.11621621621621622</v>
      </c>
      <c r="G19" s="854">
        <f>IF(ISNUMBER((Datos!N19-Datos!X19)/Datos!X19),(Datos!N19-Datos!X19)/Datos!X19," - ")</f>
        <v>1.4553014553014554E-2</v>
      </c>
      <c r="H19" s="854">
        <f>IF(ISNUMBER(((NºAsuntos!G19/NºAsuntos!E19)-Datos!BD19)/Datos!BD19),((NºAsuntos!G19/NºAsuntos!E19)-Datos!BD19)/Datos!BD19," - ")</f>
        <v>-7.9465753459355346E-2</v>
      </c>
      <c r="I19" s="854">
        <f>IF(ISNUMBER(((NºAsuntos!I19/NºAsuntos!G19)-Datos!BE19)/Datos!BE19),((NºAsuntos!I19/NºAsuntos!G19)-Datos!BE19)/Datos!BE19," - ")</f>
        <v>0.17732178142574859</v>
      </c>
      <c r="J19" s="854">
        <f>IF(ISNUMBER((('Resol  Asuntos'!D19/NºAsuntos!G19)-Datos!BF19)/Datos!BF19),(('Resol  Asuntos'!D19/NºAsuntos!G19)-Datos!BF19)/Datos!BF19," - ")</f>
        <v>0.12715951245363005</v>
      </c>
      <c r="K19" s="854">
        <f>IF(ISNUMBER((((NºAsuntos!C19+NºAsuntos!E19)/NºAsuntos!G19)-Datos!BG19)/Datos!BG19),(((NºAsuntos!C19+NºAsuntos!E19)/NºAsuntos!G19)-Datos!BG19)/Datos!BG19," - ")</f>
        <v>0.10423191714526936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0.10741166631821032</v>
      </c>
      <c r="C20" s="799">
        <f>IF(ISNUMBER(
   IF(J_V="SI",(Datos!J20-Datos!T20)/Datos!T20,(Datos!J20+Datos!Z20-(Datos!T20+Datos!AH20))/(Datos!T20+Datos!AH20))
     ),IF(J_V="SI",(Datos!J20-Datos!T20)/Datos!T20,(Datos!J20+Datos!Z20-(Datos!T20+Datos!AH20))/(Datos!T20+Datos!AH20))," - ")</f>
        <v>-0.21722972972972973</v>
      </c>
      <c r="D20" s="799">
        <f>IF(ISNUMBER(
   IF(J_V="SI",(Datos!K20-Datos!U20)/Datos!U20,(Datos!K20+Datos!AA20-(Datos!U20+Datos!AI20))/(Datos!U20+Datos!AI20))
     ),IF(J_V="SI",(Datos!K20-Datos!U20)/Datos!U20,(Datos!K20+Datos!AA20-(Datos!U20+Datos!AI20))/(Datos!U20+Datos!AI20))," - ")</f>
        <v>-0.11614576224921523</v>
      </c>
      <c r="E20" s="799">
        <f>IF(ISNUMBER(
   IF(J_V="SI",(Datos!L20-Datos!V20)/Datos!V20,(Datos!L20+Datos!AB20-(Datos!V20+Datos!AJ20))/(Datos!V20+Datos!AJ20))
     ),IF(J_V="SI",(Datos!L20-Datos!V20)/Datos!V20,(Datos!L20+Datos!AB20-(Datos!V20+Datos!AJ20))/(Datos!V20+Datos!AJ20))," - ")</f>
        <v>2.7725118483412321E-2</v>
      </c>
      <c r="F20" s="800">
        <f>IF(ISNUMBER((Datos!M20-Datos!W20)/Datos!W20),(Datos!M20-Datos!W20)/Datos!W20," - ")</f>
        <v>-3.2188841201716736E-2</v>
      </c>
      <c r="G20" s="801">
        <f>IF(ISNUMBER((Datos!N20-Datos!X20)/Datos!X20),(Datos!N20-Datos!X20)/Datos!X20," - ")</f>
        <v>-0.14970202622169249</v>
      </c>
      <c r="H20" s="802">
        <f>IF(ISNUMBER((Tasas!B20-Datos!BD20)/Datos!BD20),(Tasas!B20-Datos!BD20)/Datos!BD20," - ")</f>
        <v>0.12913618633678156</v>
      </c>
      <c r="I20" s="803">
        <f>IF(ISNUMBER((Tasas!C20-Datos!BE20)/Datos!BE20),(Tasas!C20-Datos!BE20)/Datos!BE20," - ")</f>
        <v>0.16277670523903057</v>
      </c>
      <c r="J20" s="804">
        <f>IF(ISNUMBER((Tasas!D20-Datos!BF20)/Datos!BF20),(Tasas!D20-Datos!BF20)/Datos!BF20," - ")</f>
        <v>-0.52333943690049189</v>
      </c>
      <c r="K20" s="804">
        <f>IF(ISNUMBER((Tasas!E20-Datos!BG20)/Datos!BG20),(Tasas!E20-Datos!BG20)/Datos!BG20," - ")</f>
        <v>0.13649743289230057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t/EsV1NF6PH48BI33QN7Rux3N3H+TY7rIkjcD1qRFuNuN0ciImykuDoIsIRMKhFdOOTiPBAWq/7ASMfj0/2C1Q==" saltValue="yHFOlkI8Svwtzw7ZqHC1w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ARGANDA DEL REY</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0.56657420249653256</v>
      </c>
      <c r="C9" s="442">
        <f>IF(ISNUMBER(NºAsuntos!I9/NºAsuntos!G9),NºAsuntos!I9/NºAsuntos!G9," - ")</f>
        <v>6.7313341493268055</v>
      </c>
      <c r="D9" s="443">
        <f>IF(ISNUMBER('Resol  Asuntos'!D9/NºAsuntos!G9),'Resol  Asuntos'!D9/NºAsuntos!G9," - ")</f>
        <v>0.19645042839657284</v>
      </c>
      <c r="E9" s="444">
        <f>IF(ISNUMBER((NºAsuntos!C9+NºAsuntos!E9)/NºAsuntos!G9),(NºAsuntos!C9+NºAsuntos!E9)/NºAsuntos!G9," - ")</f>
        <v>7.7313341493268055</v>
      </c>
      <c r="G9" s="462"/>
    </row>
    <row r="10" spans="1:7" ht="21">
      <c r="A10" s="401" t="str">
        <f>Datos!A10</f>
        <v>Sección De Violencia sobre la Mujer del TI</v>
      </c>
      <c r="B10" s="441">
        <f>IF(ISNUMBER(NºAsuntos!G10/NºAsuntos!E10),NºAsuntos!G10/NºAsuntos!E10," - ")</f>
        <v>0.80769230769230771</v>
      </c>
      <c r="C10" s="442">
        <f>IF(ISNUMBER(NºAsuntos!I10/NºAsuntos!G10),NºAsuntos!I10/NºAsuntos!G10," - ")</f>
        <v>3.5476190476190474</v>
      </c>
      <c r="D10" s="443">
        <f>IF(ISNUMBER('Resol  Asuntos'!D10/NºAsuntos!G10),'Resol  Asuntos'!D10/NºAsuntos!G10," - ")</f>
        <v>0.45238095238095238</v>
      </c>
      <c r="E10" s="444">
        <f>IF(ISNUMBER((NºAsuntos!C10+NºAsuntos!E10)/NºAsuntos!G10),(NºAsuntos!C10+NºAsuntos!E10)/NºAsuntos!G10," - ")</f>
        <v>4.5476190476190474</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5.6373626373626378</v>
      </c>
      <c r="C12" s="442">
        <f>IF(ISNUMBER(NºAsuntos!I12/NºAsuntos!G12),NºAsuntos!I12/NºAsuntos!G12," - ")</f>
        <v>5.1393762183235872</v>
      </c>
      <c r="D12" s="443">
        <f>IF(ISNUMBER('Resol  Asuntos'!D12/NºAsuntos!G12),'Resol  Asuntos'!D12/NºAsuntos!G12," - ")</f>
        <v>0.14522417153996101</v>
      </c>
      <c r="E12" s="444">
        <f>IF(ISNUMBER((NºAsuntos!C12+NºAsuntos!E12)/NºAsuntos!G12),(NºAsuntos!C12+NºAsuntos!E12)/NºAsuntos!G12," - ")</f>
        <v>6.1384015594541914</v>
      </c>
      <c r="G12" s="462"/>
    </row>
    <row r="13" spans="1:7" ht="14.25" thickTop="1" thickBot="1">
      <c r="A13" s="845" t="str">
        <f>Datos!A13</f>
        <v>TOTAL</v>
      </c>
      <c r="B13" s="855">
        <f>IF(ISNUMBER(NºAsuntos!G13/NºAsuntos!E13),NºAsuntos!G13/NºAsuntos!E13," - ")</f>
        <v>0.86658114175753687</v>
      </c>
      <c r="C13" s="856">
        <f>IF(ISNUMBER(NºAsuntos!I13/NºAsuntos!G13),NºAsuntos!I13/NºAsuntos!G13," - ")</f>
        <v>6.0773501110288679</v>
      </c>
      <c r="D13" s="857">
        <f>IF(ISNUMBER('Resol  Asuntos'!D13/NºAsuntos!G13),'Resol  Asuntos'!D13/NºAsuntos!G13," - ")</f>
        <v>0.18097705403404885</v>
      </c>
      <c r="E13" s="858">
        <f>IF(ISNUMBER((NºAsuntos!C13+NºAsuntos!E13)/NºAsuntos!G13),(NºAsuntos!C13+NºAsuntos!E13)/NºAsuntos!G13," - ")</f>
        <v>7.0769800148038486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0.83457627118644073</v>
      </c>
      <c r="C15" s="442">
        <f>IF(ISNUMBER(NºAsuntos!I15/NºAsuntos!G15),NºAsuntos!I15/NºAsuntos!G15," - ")</f>
        <v>0.98984565393988622</v>
      </c>
      <c r="D15" s="443">
        <f>IF(ISNUMBER('Resol  Asuntos'!D15/NºAsuntos!G15),'Resol  Asuntos'!D15/NºAsuntos!G15," - ")</f>
        <v>0.12591389114541024</v>
      </c>
      <c r="E15" s="444">
        <f>IF(ISNUMBER((NºAsuntos!C15+NºAsuntos!E15)/NºAsuntos!G15),(NºAsuntos!C15+NºAsuntos!E15)/NºAsuntos!G15," - ")</f>
        <v>1.9861900893582454</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2.5019607843137255</v>
      </c>
      <c r="C17" s="442">
        <f>IF(ISNUMBER(NºAsuntos!I17/NºAsuntos!G17),NºAsuntos!I17/NºAsuntos!G17," - ")</f>
        <v>3.9122257053291536</v>
      </c>
      <c r="D17" s="443">
        <f>IF(ISNUMBER('Resol  Asuntos'!D17/NºAsuntos!G17),'Resol  Asuntos'!D17/NºAsuntos!G17," - ")</f>
        <v>0.14420062695924765</v>
      </c>
      <c r="E17" s="444">
        <f>IF(ISNUMBER((NºAsuntos!C17+NºAsuntos!E17)/NºAsuntos!G17),(NºAsuntos!C17+NºAsuntos!E17)/NºAsuntos!G17," - ")</f>
        <v>4.8996865203761759</v>
      </c>
      <c r="G17" s="462"/>
    </row>
    <row r="18" spans="1:7" ht="21.75" thickBot="1">
      <c r="A18" s="401" t="str">
        <f>Datos!A18</f>
        <v>Sección De Violencia sobre la Mujer del TI</v>
      </c>
      <c r="B18" s="441">
        <f>IF(ISNUMBER(NºAsuntos!G18/NºAsuntos!E18),NºAsuntos!G18/NºAsuntos!E18," - ")</f>
        <v>1.0732484076433122</v>
      </c>
      <c r="C18" s="442">
        <f>IF(ISNUMBER(NºAsuntos!I18/NºAsuntos!G18),NºAsuntos!I18/NºAsuntos!G18," - ")</f>
        <v>0.49109792284866471</v>
      </c>
      <c r="D18" s="443">
        <f>IF(ISNUMBER('Resol  Asuntos'!D18/NºAsuntos!G18),'Resol  Asuntos'!D18/NºAsuntos!G18," - ")</f>
        <v>1.6320474777448073E-2</v>
      </c>
      <c r="E18" s="444">
        <f>IF(ISNUMBER((NºAsuntos!C18+NºAsuntos!E18)/NºAsuntos!G18),(NºAsuntos!C18+NºAsuntos!E18)/NºAsuntos!G18," - ")</f>
        <v>1.4836795252225519</v>
      </c>
      <c r="G18" s="462"/>
    </row>
    <row r="19" spans="1:7" ht="14.25" thickTop="1" thickBot="1">
      <c r="A19" s="845" t="str">
        <f>Datos!A19</f>
        <v>TOTAL</v>
      </c>
      <c r="B19" s="855">
        <f>IF(ISNUMBER(NºAsuntos!G19/NºAsuntos!E19),NºAsuntos!G19/NºAsuntos!E19," - ")</f>
        <v>0.98460735716149228</v>
      </c>
      <c r="C19" s="856">
        <f>IF(ISNUMBER(NºAsuntos!I19/NºAsuntos!G19),NºAsuntos!I19/NºAsuntos!G19," - ")</f>
        <v>1.3948065712771596</v>
      </c>
      <c r="D19" s="859">
        <f>IF(ISNUMBER('Resol  Asuntos'!D19/NºAsuntos!G19),'Resol  Asuntos'!D19/NºAsuntos!G19," - ")</f>
        <v>0.10943296237413884</v>
      </c>
      <c r="E19" s="858">
        <f>IF(ISNUMBER((NºAsuntos!C19+NºAsuntos!E19)/NºAsuntos!G19),(NºAsuntos!C19+NºAsuntos!E19)/NºAsuntos!G19," - ")</f>
        <v>2.3889772125066244</v>
      </c>
      <c r="G19" s="462"/>
    </row>
    <row r="20" spans="1:7" ht="15.75" customHeight="1" thickTop="1" thickBot="1">
      <c r="A20" s="790" t="str">
        <f>Datos!A20</f>
        <v>TOTAL JURISDICCIONES</v>
      </c>
      <c r="B20" s="805">
        <f>IF(ISNUMBER(NºAsuntos!G20/NºAsuntos!E20),NºAsuntos!G20/NºAsuntos!E20," - ")</f>
        <v>0.93166450870378359</v>
      </c>
      <c r="C20" s="806">
        <f>IF(ISNUMBER(NºAsuntos!I20/NºAsuntos!G20),NºAsuntos!I20/NºAsuntos!G20," - ")</f>
        <v>3.3485176034589252</v>
      </c>
      <c r="D20" s="807">
        <f>IF(ISNUMBER('Resol  Asuntos'!D20/NºAsuntos!G20),'Resol  Asuntos'!D20/NºAsuntos!G20," - ")</f>
        <v>0.13928350833848055</v>
      </c>
      <c r="E20" s="808">
        <f>IF(ISNUMBER((NºAsuntos!C20+NºAsuntos!E20)/NºAsuntos!G20),(NºAsuntos!C20+NºAsuntos!E20)/NºAsuntos!G20," - ")</f>
        <v>4.3449660284126006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EtVUKOzVOeDKBdOOSNrmx6AEGBFqbApO0BgmEMM/BDAEj4gasHfdaafzqUROg8pecLRASD1Mo+9+EreJUJoHgA==" saltValue="7vV8IPPINVTan4ZhO+2UG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ARGANDA DEL REY</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247</v>
      </c>
      <c r="C9" s="159" t="str">
        <f>Datos!A9</f>
        <v>Sección Civil del T.I</v>
      </c>
      <c r="D9" s="159"/>
      <c r="E9" s="1020">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281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153</v>
      </c>
      <c r="Y9" s="333">
        <f>SUM(W9:X9)</f>
        <v>153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6599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321</v>
      </c>
      <c r="AJ9" s="228" t="str">
        <f>IF(ISNUMBER(Datos!BW9),Datos!BW9," - ")</f>
        <v xml:space="preserve"> - </v>
      </c>
      <c r="AK9" s="227" t="str">
        <f>IF(ISNUMBER(Datos!BX9),Datos!BX9," - ")</f>
        <v xml:space="preserve"> - </v>
      </c>
      <c r="AL9" s="242">
        <f>IF(ISNUMBER(NºAsuntos!G9/NºAsuntos!E9),NºAsuntos!G9/NºAsuntos!E9," - ")</f>
        <v>0.56657420249653256</v>
      </c>
      <c r="AM9" s="259">
        <f>IF(ISNUMBER(((NºAsuntos!I9/NºAsuntos!G9)*11)/factor_trimestre),((NºAsuntos!I9/NºAsuntos!G9)*11)/factor_trimestre," - ")</f>
        <v>20.194002447980417</v>
      </c>
      <c r="AN9" s="243">
        <f>IF(ISNUMBER('Resol  Asuntos'!D9/NºAsuntos!G9),'Resol  Asuntos'!D9/NºAsuntos!G9," - ")</f>
        <v>0.19645042839657284</v>
      </c>
      <c r="AO9" s="244">
        <f>IF(ISNUMBER((NºAsuntos!C9+NºAsuntos!E9)/NºAsuntos!G9),(NºAsuntos!C9+NºAsuntos!E9)/NºAsuntos!G9," - ")</f>
        <v>7.7313341493268055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2</v>
      </c>
      <c r="F10" s="224">
        <f>IF(ISNUMBER(Datos!L10+Datos!K10-Datos!J10-K10),Datos!L10+Datos!K10-Datos!J10-K10," - ")</f>
        <v>139</v>
      </c>
      <c r="G10" s="332">
        <f>IF(ISNUMBER(Datos!I10),Datos!I10," - ")</f>
        <v>139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42</v>
      </c>
      <c r="X10" s="225">
        <f>IF(ISNUMBER(Datos!Q10),Datos!Q10," - ")</f>
        <v>8</v>
      </c>
      <c r="Y10" s="333">
        <f t="shared" ref="Y10:Y12" si="0">SUM(W10:X10)</f>
        <v>50</v>
      </c>
      <c r="Z10" s="334" t="str">
        <f>IF(ISNUMBER(Datos!CC10),Datos!CC10," - ")</f>
        <v xml:space="preserve"> - </v>
      </c>
      <c r="AA10" s="331">
        <f>IF(ISNUMBER(Datos!L10),Datos!L10,"-")</f>
        <v>149</v>
      </c>
      <c r="AB10" s="333">
        <f>IF(ISNUMBER(Datos!R10),Datos!R10," - ")</f>
        <v>67</v>
      </c>
      <c r="AC10" s="333">
        <f t="shared" ref="AC10:AC12" si="1">IF(ISNUMBER(AA10+AB10),AA10+AB10," - ")</f>
        <v>216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19</v>
      </c>
      <c r="AJ10" s="230" t="str">
        <f>IF(ISNUMBER(Datos!BW10),Datos!BW10," - ")</f>
        <v xml:space="preserve"> - </v>
      </c>
      <c r="AK10" s="231" t="str">
        <f>IF(ISNUMBER(Datos!BX10),Datos!BX10," - ")</f>
        <v xml:space="preserve"> - </v>
      </c>
      <c r="AL10" s="242">
        <f>IF(ISNUMBER(NºAsuntos!G10/NºAsuntos!E10),NºAsuntos!G10/NºAsuntos!E10," - ")</f>
        <v>0.80769230769230771</v>
      </c>
      <c r="AM10" s="259">
        <f>IF(ISNUMBER(((NºAsuntos!I10/NºAsuntos!G10)*11)/factor_trimestre),((NºAsuntos!I10/NºAsuntos!G10)*11)/factor_trimestre," - ")</f>
        <v>10.642857142857142</v>
      </c>
      <c r="AN10" s="243">
        <f>IF(ISNUMBER('Resol  Asuntos'!D10/NºAsuntos!G10),'Resol  Asuntos'!D10/NºAsuntos!G10," - ")</f>
        <v>0.45238095238095238</v>
      </c>
      <c r="AO10" s="244">
        <f>IF(ISNUMBER((NºAsuntos!C10+NºAsuntos!E10)/NºAsuntos!G10),(NºAsuntos!C10+NºAsuntos!E10)/NºAsuntos!G10," - ")</f>
        <v>4.5476190476190474</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122</v>
      </c>
      <c r="Y12" s="333">
        <f t="shared" si="0"/>
        <v>122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4454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149</v>
      </c>
      <c r="AJ12" s="228" t="str">
        <f>IF(ISNUMBER(Datos!BW12),Datos!BW12," - ")</f>
        <v xml:space="preserve"> - </v>
      </c>
      <c r="AK12" s="227" t="str">
        <f>IF(ISNUMBER(Datos!BX12),Datos!BX12," - ")</f>
        <v xml:space="preserve"> - </v>
      </c>
      <c r="AL12" s="242">
        <f>IF(ISNUMBER(NºAsuntos!G12/NºAsuntos!E12),NºAsuntos!G12/NºAsuntos!E12," - ")</f>
        <v>5.6373626373626378</v>
      </c>
      <c r="AM12" s="259">
        <f>IF(ISNUMBER(((NºAsuntos!I12/NºAsuntos!G12)*11)/factor_trimestre),((NºAsuntos!I12/NºAsuntos!G12)*11)/factor_trimestre," - ")</f>
        <v>15.418128654970761</v>
      </c>
      <c r="AN12" s="243">
        <f>IF(ISNUMBER('Resol  Asuntos'!D12/NºAsuntos!G12),'Resol  Asuntos'!D12/NºAsuntos!G12," - ")</f>
        <v>0.14522417153996101</v>
      </c>
      <c r="AO12" s="244">
        <f>IF(ISNUMBER((NºAsuntos!C12+NºAsuntos!E12)/NºAsuntos!G12),(NºAsuntos!C12+NºAsuntos!E12)/NºAsuntos!G12," - ")</f>
        <v>6.1384015594541914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139</v>
      </c>
      <c r="G13" s="863">
        <f t="shared" si="3"/>
        <v>139</v>
      </c>
      <c r="H13" s="862">
        <f t="shared" si="3"/>
        <v>0</v>
      </c>
      <c r="I13" s="864">
        <f t="shared" si="3"/>
        <v>0</v>
      </c>
      <c r="J13" s="864">
        <f t="shared" si="3"/>
        <v>0</v>
      </c>
      <c r="K13" s="864">
        <f t="shared" si="3"/>
        <v>0</v>
      </c>
      <c r="L13" s="864">
        <f t="shared" si="3"/>
        <v>456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42</v>
      </c>
      <c r="X13" s="864">
        <f t="shared" si="4"/>
        <v>283</v>
      </c>
      <c r="Y13" s="865">
        <f t="shared" si="4"/>
        <v>325</v>
      </c>
      <c r="Z13" s="865">
        <f t="shared" si="4"/>
        <v>0</v>
      </c>
      <c r="AA13" s="865">
        <f t="shared" si="4"/>
        <v>149</v>
      </c>
      <c r="AB13" s="865">
        <f t="shared" si="4"/>
        <v>11120</v>
      </c>
      <c r="AC13" s="865">
        <f t="shared" si="4"/>
        <v>216</v>
      </c>
      <c r="AD13" s="865">
        <f t="shared" si="4"/>
        <v>0</v>
      </c>
      <c r="AE13" s="869">
        <f t="shared" si="4"/>
        <v>0</v>
      </c>
      <c r="AF13" s="862">
        <f t="shared" si="4"/>
        <v>0</v>
      </c>
      <c r="AG13" s="870">
        <f t="shared" si="4"/>
        <v>0</v>
      </c>
      <c r="AH13" s="867">
        <f t="shared" si="4"/>
        <v>0</v>
      </c>
      <c r="AI13" s="862">
        <f t="shared" si="4"/>
        <v>489</v>
      </c>
      <c r="AJ13" s="864">
        <f t="shared" si="4"/>
        <v>0</v>
      </c>
      <c r="AK13" s="867">
        <f>SUBTOTAL(9,AK9:AK12)</f>
        <v>0</v>
      </c>
      <c r="AL13" s="871">
        <f>IF(ISNUMBER(NºAsuntos!G13/NºAsuntos!E13),NºAsuntos!G13/NºAsuntos!E13," - ")</f>
        <v>0.86658114175753687</v>
      </c>
      <c r="AM13" s="871">
        <f>IF(ISNUMBER(((NºAsuntos!I13/NºAsuntos!G13)*11)/factor_trimestre),((NºAsuntos!I13/NºAsuntos!G13)*11)/factor_trimestre," - ")</f>
        <v>18.232050333086601</v>
      </c>
      <c r="AN13" s="872">
        <f>IF(ISNUMBER('Resol  Asuntos'!D13/NºAsuntos!G13),'Resol  Asuntos'!D13/NºAsuntos!G13," - ")</f>
        <v>0.18097705403404885</v>
      </c>
      <c r="AO13" s="873">
        <f>IF(ISNUMBER((NºAsuntos!C13+NºAsuntos!E13)/NºAsuntos!G13),(NºAsuntos!C13+NºAsuntos!E13)/NºAsuntos!G13," - ")</f>
        <v>7.0769800148038486</v>
      </c>
      <c r="AP13" s="874" t="str">
        <f t="shared" si="2"/>
        <v xml:space="preserve"> - </v>
      </c>
      <c r="AQ13" s="874">
        <f>IF(ISNUMBER((H13-W13+K13)/(F13)),(H13-W13+K13)/(F13)," - ")</f>
        <v>-0.30215827338129497</v>
      </c>
      <c r="AR13" s="875">
        <f>IF(ISNUMBER((Datos!P13-Datos!Q13)/(Datos!R13-Datos!P13+Datos!Q13)),(Datos!P13-Datos!Q13)/(Datos!R13-Datos!P13+Datos!Q13)," - ")</f>
        <v>1.5803416461130905E-2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397</v>
      </c>
      <c r="C15" s="159" t="str">
        <f>Datos!A15</f>
        <v xml:space="preserve">Seccion Instruccion Del T.I.                   </v>
      </c>
      <c r="D15" s="159"/>
      <c r="E15" s="1020">
        <f>IF(ISNUMBER(Datos!AQ15),Datos!AQ15," - ")</f>
        <v>4</v>
      </c>
      <c r="F15" s="224">
        <f>IF(ISNUMBER(AA15+W15-Datos!J15-K15),AA15+W15-Datos!J15-K15," - ")</f>
        <v>1949</v>
      </c>
      <c r="G15" s="332">
        <f>IF(ISNUMBER(IF(D_I="SI",Datos!I15,Datos!I15+Datos!AC15)),IF(D_I="SI",Datos!I15,Datos!I15+Datos!AC15)," - ")</f>
        <v>1940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2462</v>
      </c>
      <c r="X15" s="225">
        <f>IF(ISNUMBER(Datos!Q15),Datos!Q15," - ")</f>
        <v>45</v>
      </c>
      <c r="Y15" s="333">
        <f>SUM(W15)</f>
        <v>2462</v>
      </c>
      <c r="Z15" s="334" t="str">
        <f>IF(ISNUMBER(Datos!CC15),Datos!CC15," - ")</f>
        <v xml:space="preserve"> - </v>
      </c>
      <c r="AA15" s="331">
        <f>IF(ISNUMBER(IF(D_I="SI",Datos!L15,Datos!L15+Datos!AF15)),IF(D_I="SI",Datos!L15,Datos!L15+Datos!AF15)," - ")</f>
        <v>2437</v>
      </c>
      <c r="AB15" s="333">
        <f>IF(ISNUMBER(Datos!R15),Datos!R15," - ")</f>
        <v>238</v>
      </c>
      <c r="AC15" s="333">
        <f t="shared" ref="AC15:AC18" si="6">IF(ISNUMBER(AA15+AB15),AA15+AB15," - ")</f>
        <v>2675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310</v>
      </c>
      <c r="AJ15" s="230" t="str">
        <f>IF(ISNUMBER(Datos!BW15),Datos!BW15," - ")</f>
        <v xml:space="preserve"> - </v>
      </c>
      <c r="AK15" s="231" t="str">
        <f>IF(ISNUMBER(Datos!BX15),Datos!BX15," - ")</f>
        <v xml:space="preserve"> - </v>
      </c>
      <c r="AL15" s="242">
        <f>IF(ISNUMBER(NºAsuntos!G15/NºAsuntos!E15),NºAsuntos!G15/NºAsuntos!E15," - ")</f>
        <v>0.83457627118644073</v>
      </c>
      <c r="AM15" s="259">
        <f>IF(ISNUMBER(((NºAsuntos!I15/NºAsuntos!G15)*11)/factor_trimestre),((NºAsuntos!I15/NºAsuntos!G15)*11)/factor_trimestre," - ")</f>
        <v>2.9695369618196588</v>
      </c>
      <c r="AN15" s="243">
        <f>IF(ISNUMBER('Resol  Asuntos'!D15/NºAsuntos!G15),'Resol  Asuntos'!D15/NºAsuntos!G15," - ")</f>
        <v>0.12591389114541024</v>
      </c>
      <c r="AO15" s="244">
        <f>IF(ISNUMBER((NºAsuntos!C15+NºAsuntos!E15)/NºAsuntos!G15),(NºAsuntos!C15+NºAsuntos!E15)/NºAsuntos!G15," - ")</f>
        <v>1.9861900893582454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f>IF(ISNUMBER(AA17+W17-Datos!J17-K17),AA17+W17-Datos!J17-K17," - ")</f>
        <v>2879</v>
      </c>
      <c r="G17" s="332">
        <f>IF(ISNUMBER(IF(D_I="SI",Datos!I17,Datos!I17+Datos!AC17)),IF(D_I="SI",Datos!I17,Datos!I17+Datos!AC17)," - ")</f>
        <v>2871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638</v>
      </c>
      <c r="X17" s="225">
        <f>IF(ISNUMBER(Datos!Q17),Datos!Q17," - ")</f>
        <v>66</v>
      </c>
      <c r="Y17" s="333">
        <f t="shared" ref="Y17:Y18" si="9">SUM(W17:X17)</f>
        <v>704</v>
      </c>
      <c r="Z17" s="334" t="str">
        <f>IF(ISNUMBER(Datos!CC17),Datos!CC17," - ")</f>
        <v xml:space="preserve"> - </v>
      </c>
      <c r="AA17" s="331">
        <f>IF(ISNUMBER(IF(D_I="SI",Datos!L17,Datos!L17+Datos!AF17)),IF(D_I="SI",Datos!L17,Datos!L17+Datos!AF17)," - ")</f>
        <v>2496</v>
      </c>
      <c r="AB17" s="333">
        <f>IF(ISNUMBER(Datos!R17),Datos!R17," - ")</f>
        <v>315</v>
      </c>
      <c r="AC17" s="333">
        <f t="shared" si="6"/>
        <v>2811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92</v>
      </c>
      <c r="AJ17" s="230" t="str">
        <f>IF(ISNUMBER(Datos!BW17),Datos!BW17," - ")</f>
        <v xml:space="preserve"> - </v>
      </c>
      <c r="AK17" s="231" t="str">
        <f>IF(ISNUMBER(Datos!BX17),Datos!BX17," - ")</f>
        <v xml:space="preserve"> - </v>
      </c>
      <c r="AL17" s="242">
        <f>IF(ISNUMBER(NºAsuntos!G17/NºAsuntos!E17),NºAsuntos!G17/NºAsuntos!E17," - ")</f>
        <v>2.5019607843137255</v>
      </c>
      <c r="AM17" s="259">
        <f>IF(ISNUMBER(((NºAsuntos!I17/NºAsuntos!G17)*11)/factor_trimestre),((NºAsuntos!I17/NºAsuntos!G17)*11)/factor_trimestre," - ")</f>
        <v>11.736677115987462</v>
      </c>
      <c r="AN17" s="243">
        <f>IF(ISNUMBER('Resol  Asuntos'!D17/NºAsuntos!G17),'Resol  Asuntos'!D17/NºAsuntos!G17," - ")</f>
        <v>0.14420062695924765</v>
      </c>
      <c r="AO17" s="244">
        <f>IF(ISNUMBER((NºAsuntos!C17+NºAsuntos!E17)/NºAsuntos!G17),(NºAsuntos!C17+NºAsuntos!E17)/NºAsuntos!G17," - ")</f>
        <v>4.8996865203761759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372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674</v>
      </c>
      <c r="X18" s="225">
        <f>IF(ISNUMBER(Datos!Q18),Datos!Q18," - ")</f>
        <v>0</v>
      </c>
      <c r="Y18" s="333">
        <f t="shared" si="9"/>
        <v>674</v>
      </c>
      <c r="Z18" s="334" t="str">
        <f>IF(ISNUMBER(Datos!CC18),Datos!CC18," - ")</f>
        <v xml:space="preserve"> - </v>
      </c>
      <c r="AA18" s="331">
        <f>IF(ISNUMBER(Datos!L18),Datos!L18,"-")</f>
        <v>331</v>
      </c>
      <c r="AB18" s="333">
        <f>IF(ISNUMBER(Datos!R18),Datos!R18," - ")</f>
        <v>10</v>
      </c>
      <c r="AC18" s="333">
        <f t="shared" si="6"/>
        <v>341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11</v>
      </c>
      <c r="AJ18" s="230" t="str">
        <f>IF(ISNUMBER(Datos!BW18),Datos!BW18," - ")</f>
        <v xml:space="preserve"> - </v>
      </c>
      <c r="AK18" s="231" t="str">
        <f>IF(ISNUMBER(Datos!BX18),Datos!BX18," - ")</f>
        <v xml:space="preserve"> - </v>
      </c>
      <c r="AL18" s="242">
        <f>IF(ISNUMBER(NºAsuntos!G18/NºAsuntos!E18),NºAsuntos!G18/NºAsuntos!E18," - ")</f>
        <v>1.0732484076433122</v>
      </c>
      <c r="AM18" s="259">
        <f>IF(ISNUMBER(((NºAsuntos!I18/NºAsuntos!G18)*11)/factor_trimestre),((NºAsuntos!I18/NºAsuntos!G18)*11)/factor_trimestre," - ")</f>
        <v>1.4732937685459941</v>
      </c>
      <c r="AN18" s="243">
        <f>IF(ISNUMBER('Resol  Asuntos'!D18/NºAsuntos!G18),'Resol  Asuntos'!D18/NºAsuntos!G18," - ")</f>
        <v>1.6320474777448073E-2</v>
      </c>
      <c r="AO18" s="244">
        <f>IF(ISNUMBER((NºAsuntos!C18+NºAsuntos!E18)/NºAsuntos!G18),(NºAsuntos!C18+NºAsuntos!E18)/NºAsuntos!G18," - ")</f>
        <v>1.4836795252225519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4828</v>
      </c>
      <c r="G19" s="863">
        <f>SUBTOTAL(9,G15:G18)</f>
        <v>5183</v>
      </c>
      <c r="H19" s="862">
        <f t="shared" ref="H19:O19" si="12">SUBTOTAL(9,H14:H18)</f>
        <v>0</v>
      </c>
      <c r="I19" s="864">
        <f t="shared" si="12"/>
        <v>0</v>
      </c>
      <c r="J19" s="864">
        <f t="shared" si="12"/>
        <v>0</v>
      </c>
      <c r="K19" s="864">
        <f t="shared" si="12"/>
        <v>0</v>
      </c>
      <c r="L19" s="864">
        <f t="shared" si="12"/>
        <v>111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3774</v>
      </c>
      <c r="X19" s="864">
        <f t="shared" si="13"/>
        <v>111</v>
      </c>
      <c r="Y19" s="865">
        <f t="shared" si="13"/>
        <v>3840</v>
      </c>
      <c r="Z19" s="865">
        <f t="shared" si="13"/>
        <v>0</v>
      </c>
      <c r="AA19" s="865">
        <f t="shared" si="13"/>
        <v>5264</v>
      </c>
      <c r="AB19" s="865">
        <f t="shared" si="13"/>
        <v>563</v>
      </c>
      <c r="AC19" s="865">
        <f t="shared" si="13"/>
        <v>5827</v>
      </c>
      <c r="AD19" s="865">
        <f t="shared" si="13"/>
        <v>0</v>
      </c>
      <c r="AE19" s="869">
        <f t="shared" si="13"/>
        <v>0</v>
      </c>
      <c r="AF19" s="862">
        <f t="shared" si="13"/>
        <v>0</v>
      </c>
      <c r="AG19" s="870">
        <f t="shared" si="13"/>
        <v>0</v>
      </c>
      <c r="AH19" s="867">
        <f t="shared" si="13"/>
        <v>0</v>
      </c>
      <c r="AI19" s="862">
        <f t="shared" si="13"/>
        <v>413</v>
      </c>
      <c r="AJ19" s="864">
        <f t="shared" si="13"/>
        <v>0</v>
      </c>
      <c r="AK19" s="867">
        <f t="shared" si="13"/>
        <v>0</v>
      </c>
      <c r="AL19" s="871">
        <f>IF(ISNUMBER(NºAsuntos!G19/NºAsuntos!E19),NºAsuntos!G19/NºAsuntos!E19," - ")</f>
        <v>0.98460735716149228</v>
      </c>
      <c r="AM19" s="871">
        <f>IF(ISNUMBER(((NºAsuntos!I19/NºAsuntos!G19)*11)/factor_trimestre),((NºAsuntos!I19/NºAsuntos!G19)*11)/factor_trimestre," - ")</f>
        <v>4.1844197138314794</v>
      </c>
      <c r="AN19" s="872">
        <f>IF(ISNUMBER('Resol  Asuntos'!D19/NºAsuntos!G19),'Resol  Asuntos'!D19/NºAsuntos!G19," - ")</f>
        <v>0.10943296237413884</v>
      </c>
      <c r="AO19" s="873">
        <f>IF(ISNUMBER((NºAsuntos!C19+NºAsuntos!E19)/NºAsuntos!G19),(NºAsuntos!C19+NºAsuntos!E19)/NºAsuntos!G19," - ")</f>
        <v>2.3889772125066244</v>
      </c>
      <c r="AP19" s="874" t="str">
        <f t="shared" si="2"/>
        <v xml:space="preserve"> - </v>
      </c>
      <c r="AQ19" s="874">
        <f>IF(ISNUMBER((H19-W19+K19)/(F19)),(H19-W19+K19)/(F19)," - ")</f>
        <v>-0.78169014084507038</v>
      </c>
      <c r="AR19" s="875">
        <f>IF(ISNUMBER((Datos!P19-Datos!Q19)/(Datos!R19-Datos!P19+Datos!Q19)),(Datos!P19-Datos!Q19)/(Datos!R19-Datos!P19+Datos!Q19)," - ")</f>
        <v>0</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14</v>
      </c>
      <c r="F20" s="817">
        <f t="shared" si="15"/>
        <v>4967</v>
      </c>
      <c r="G20" s="818">
        <f t="shared" si="15"/>
        <v>5322</v>
      </c>
      <c r="H20" s="817">
        <f t="shared" si="15"/>
        <v>0</v>
      </c>
      <c r="I20" s="819">
        <f t="shared" si="15"/>
        <v>0</v>
      </c>
      <c r="J20" s="819">
        <f t="shared" si="15"/>
        <v>0</v>
      </c>
      <c r="K20" s="878">
        <f t="shared" si="15"/>
        <v>0</v>
      </c>
      <c r="L20" s="819">
        <f t="shared" si="15"/>
        <v>567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3816</v>
      </c>
      <c r="X20" s="818">
        <f t="shared" si="16"/>
        <v>394</v>
      </c>
      <c r="Y20" s="825">
        <f t="shared" si="16"/>
        <v>4165</v>
      </c>
      <c r="Z20" s="825">
        <f t="shared" si="16"/>
        <v>0</v>
      </c>
      <c r="AA20" s="825">
        <f t="shared" si="16"/>
        <v>5413</v>
      </c>
      <c r="AB20" s="825">
        <f t="shared" si="16"/>
        <v>11683</v>
      </c>
      <c r="AC20" s="825">
        <f t="shared" si="16"/>
        <v>6043</v>
      </c>
      <c r="AD20" s="825">
        <f t="shared" si="16"/>
        <v>0</v>
      </c>
      <c r="AE20" s="827">
        <f t="shared" si="16"/>
        <v>0</v>
      </c>
      <c r="AF20" s="828">
        <f t="shared" si="16"/>
        <v>0</v>
      </c>
      <c r="AG20" s="829">
        <f t="shared" si="16"/>
        <v>0</v>
      </c>
      <c r="AH20" s="827">
        <f t="shared" si="16"/>
        <v>0</v>
      </c>
      <c r="AI20" s="817">
        <f t="shared" si="16"/>
        <v>902</v>
      </c>
      <c r="AJ20" s="817">
        <f t="shared" si="16"/>
        <v>0</v>
      </c>
      <c r="AK20" s="827">
        <f t="shared" si="16"/>
        <v>0</v>
      </c>
      <c r="AL20" s="881">
        <f>IF(ISNUMBER(NºAsuntos!G20/NºAsuntos!E20),NºAsuntos!G20/NºAsuntos!E20," - ")</f>
        <v>0.93166450870378359</v>
      </c>
      <c r="AM20" s="882">
        <f>IF(ISNUMBER(((NºAsuntos!I20/NºAsuntos!G20)*11)/factor_trimestre),((NºAsuntos!I20/NºAsuntos!G20)*11)/factor_trimestre," - ")</f>
        <v>10.045552810376776</v>
      </c>
      <c r="AN20" s="882">
        <f>IF(ISNUMBER('Resol  Asuntos'!D20/NºAsuntos!G20),'Resol  Asuntos'!D20/NºAsuntos!G20," - ")</f>
        <v>0.13928350833848055</v>
      </c>
      <c r="AO20" s="883">
        <f>IF(ISNUMBER((NºAsuntos!C20+NºAsuntos!E20)/NºAsuntos!G20),(NºAsuntos!C20+NºAsuntos!E20)/NºAsuntos!G20," - ")</f>
        <v>4.3449660284126006</v>
      </c>
      <c r="AP20" s="884" t="str">
        <f t="shared" si="2"/>
        <v xml:space="preserve"> - </v>
      </c>
      <c r="AQ20" s="885">
        <f>IF(OR(ISNUMBER(FIND("01",Criterios!A8,1)),ISNUMBER(FIND("02",Criterios!A8,1)),ISNUMBER(FIND("03",Criterios!A8,1)),ISNUMBER(FIND("04",Criterios!A8,1))),(I20-W20+K20)/(F20-K20),(H20-W20+K20)/(F20-K20))</f>
        <v>-0.76827058586672037</v>
      </c>
      <c r="AR20" s="886">
        <f>IF(ISNUMBER((Datos!P20-Datos!Q20)/(Datos!R20-Datos!P20+Datos!Q20)),(Datos!P20-Datos!Q20)/(Datos!R20-Datos!P20+Datos!Q20)," - ")</f>
        <v>1.5030408340573415E-2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1774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3.011090610836324</v>
      </c>
      <c r="F22" s="251">
        <f>IF(ISNUMBER(STDEV(F8:F19)),STDEV(F8:F19),"-")</f>
        <v>1981.0727397044259</v>
      </c>
      <c r="G22" s="252">
        <f>IF(ISNUMBER(STDEV(G8:G19)),STDEV(G8:G19),"-")</f>
        <v>2008.1981973898892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1514.0319679584047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182.51262187272732</v>
      </c>
      <c r="AJ22" s="251">
        <f t="shared" si="20"/>
        <v>0</v>
      </c>
      <c r="AK22" s="253">
        <f t="shared" si="20"/>
        <v>0</v>
      </c>
      <c r="AL22" s="248">
        <f t="shared" si="20"/>
        <v>1.7138754546770705</v>
      </c>
      <c r="AM22" s="249">
        <f t="shared" si="20"/>
        <v>7.1462416608045531</v>
      </c>
      <c r="AN22" s="249">
        <f t="shared" si="20"/>
        <v>0.12595524556835888</v>
      </c>
      <c r="AO22" s="250">
        <f t="shared" si="20"/>
        <v>2.384311126529044</v>
      </c>
      <c r="AP22" s="290" t="str">
        <f t="shared" si="20"/>
        <v>-</v>
      </c>
      <c r="AQ22" s="291">
        <f t="shared" si="20"/>
        <v>0.33908023527868431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Gn9/YHZtsMIm7/JXwlis3mafyyA+6e35eNDmJXAZFwEB6ST1nJR+sNptydVpdFjZyxdHAyimi9QdFssHCGkpNg==" saltValue="jfAfiHzsg3a6dyoWROeA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ARGANDA DEL REY</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0.13008130081300814</v>
      </c>
      <c r="E10" s="347">
        <f>IF(ISNUMBER((Datos!J10-Datos!T10)/Datos!T10),(Datos!J10-Datos!T10)/Datos!T10," - ")</f>
        <v>-0.16129032258064516</v>
      </c>
      <c r="F10" s="347">
        <f>IF(ISNUMBER((Datos!K10-Datos!U10)/Datos!U10),(Datos!K10-Datos!U10)/Datos!U10," - ")</f>
        <v>-0.20754716981132076</v>
      </c>
      <c r="G10" s="348">
        <f>IF(ISNUMBER((Datos!L10-Datos!V10)/Datos!V10),(Datos!L10-Datos!V10)/Datos!V10," - ")</f>
        <v>0.12878787878787878</v>
      </c>
      <c r="H10" s="229" t="str">
        <f>IF(ISNUMBER((Datos!M10-Datos!W10)/Datos!W10),(Datos!M10-Datos!W10)/Datos!W10," - ")</f>
        <v xml:space="preserve"> - </v>
      </c>
      <c r="I10" s="349">
        <f>IF(ISNUMBER((Tasas!C10-Datos!BE10)/Datos!BE10),(Tasas!C10-Datos!BE10)/Datos!BE10," - ")</f>
        <v>0.42442279942279942</v>
      </c>
      <c r="J10" s="348" t="str">
        <f>IF(ISNUMBER((Tasas!D10-Datos!BF10)/Datos!BF10),(Tasas!D10-Datos!BF10)/Datos!BF10," - ")</f>
        <v xml:space="preserve"> - </v>
      </c>
      <c r="K10" s="350">
        <f>IF(ISNUMBER((Tasas!E10-Datos!BG10)/Datos!BG10),(Tasas!E10-Datos!BG10)/Datos!BG10," - ")</f>
        <v>0.30283140283140281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-0.73487544483985767</v>
      </c>
      <c r="I12" s="349">
        <f>IF(ISNUMBER((Tasas!C12-Datos!BE12)/Datos!BE12),(Tasas!C12-Datos!BE12)/Datos!BE12," - ")</f>
        <v>8.1727335078987495E-2</v>
      </c>
      <c r="J12" s="348">
        <f>IF(ISNUMBER((Tasas!D12-Datos!BF12)/Datos!BF12),(Tasas!D12-Datos!BF12)/Datos!BF12," - ")</f>
        <v>-0.7160297537871908</v>
      </c>
      <c r="K12" s="350">
        <f>IF(ISNUMBER((Tasas!E12-Datos!BG12)/Datos!BG12),(Tasas!E12-Datos!BG12)/Datos!BG12," - ")</f>
        <v>8.5552272515057884E-2</v>
      </c>
      <c r="M12" t="e">
        <f>IF(Monitorios="SI",Datos!CE12,0)</f>
        <v>#REF!</v>
      </c>
      <c r="N12" t="e">
        <f>IF(Monitorios="SI",Datos!CF12,0)</f>
        <v>#REF!</v>
      </c>
      <c r="O12" t="e">
        <f>IF(Monitorios="SI",Datos!CG12,0)</f>
        <v>#REF!</v>
      </c>
      <c r="P12" t="e">
        <f>IF(Monitorios="SI",Datos!CH12,0)</f>
        <v>#REF!</v>
      </c>
      <c r="Q12">
        <f>IF(J_V="SI",0,Datos!AG12)</f>
        <v>282</v>
      </c>
      <c r="R12">
        <f>IF(J_V="SI",0,Datos!AH12)</f>
        <v>238</v>
      </c>
      <c r="S12">
        <f>IF(J_V="SI",0,Datos!AI12)</f>
        <v>255</v>
      </c>
      <c r="T12">
        <f>IF(J_V="SI",0,Datos!AJ12)</f>
        <v>263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-0.1298932384341637</v>
      </c>
      <c r="I13" s="356">
        <f>IF(ISNUMBER((Tasas!C13-Datos!BE13)/Datos!BE13),(Tasas!C13-Datos!BE13)/Datos!BE13," - ")</f>
        <v>0.2883908948072052</v>
      </c>
      <c r="J13" s="354">
        <f>IF(ISNUMBER((Tasas!D13-Datos!BF13)/Datos!BF13),(Tasas!D13-Datos!BF13)/Datos!BF13," - ")</f>
        <v>-0.6407028108505276</v>
      </c>
      <c r="K13" s="357">
        <f>IF(ISNUMBER((Tasas!E13-Datos!BG13)/Datos!BG13),(Tasas!E13-Datos!BG13)/Datos!BG13," - ")</f>
        <v>0.25879808428443013</v>
      </c>
      <c r="M13" t="e">
        <f>IF(Monitorios="SI",Datos!CE13,0)</f>
        <v>#REF!</v>
      </c>
      <c r="N13" t="e">
        <f>IF(Monitorios="SI",Datos!CF13,0)</f>
        <v>#REF!</v>
      </c>
      <c r="O13" t="e">
        <f>IF(Monitorios="SI",Datos!CG13,0)</f>
        <v>#REF!</v>
      </c>
      <c r="P13" t="e">
        <f>IF(Monitorios="SI",Datos!CH13,0)</f>
        <v>#REF!</v>
      </c>
      <c r="Q13">
        <f>IF(J_V="SI",0,Datos!AG13)</f>
        <v>282</v>
      </c>
      <c r="R13">
        <f>IF(J_V="SI",0,Datos!AH13)</f>
        <v>238</v>
      </c>
      <c r="S13">
        <f>IF(J_V="SI",0,Datos!AI13)</f>
        <v>255</v>
      </c>
      <c r="T13">
        <f>IF(J_V="SI",0,Datos!AJ13)</f>
        <v>263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-0.33248081841432225</v>
      </c>
      <c r="E17" s="347">
        <f>IF(ISNUMBER(
   IF(D_I="SI",(Datos!J17-Datos!T17)/Datos!T17,(Datos!J17+Datos!AD17-(Datos!T17+Datos!AL17))/(Datos!T17+Datos!AL17))
     ),IF(D_I="SI",(Datos!J17-Datos!T17)/Datos!T17,(Datos!J17+Datos!AD17-(Datos!T17+Datos!AL17))/(Datos!T17+Datos!AL17))," - ")</f>
        <v>-0.91653027823240585</v>
      </c>
      <c r="F17" s="347">
        <f>IF(ISNUMBER(
   IF(D_I="SI",(Datos!K17-Datos!U17)/Datos!U17,(Datos!K17+Datos!AE17-(Datos!U17+Datos!AM17))/(Datos!U17+Datos!AM17))
     ),IF(D_I="SI",(Datos!K17-Datos!U17)/Datos!U17,(Datos!K17+Datos!AE17-(Datos!U17+Datos!AM17))/(Datos!U17+Datos!AM17))," - ")</f>
        <v>-0.80068728522336774</v>
      </c>
      <c r="G17" s="348">
        <f>IF(ISNUMBER(
   IF(D_I="SI",(Datos!L17-Datos!V17)/Datos!V17,(Datos!L17+Datos!AF17-(Datos!V17+Datos!AN17))/(Datos!V17+Datos!AN17))
     ),IF(D_I="SI",(Datos!L17-Datos!V17)/Datos!V17,(Datos!L17+Datos!AF17-(Datos!V17+Datos!AN17))/(Datos!V17+Datos!AN17))," - ")</f>
        <v>-0.40964995269631033</v>
      </c>
      <c r="H17" s="229">
        <f>IF(ISNUMBER((Datos!M17-Datos!W17)/Datos!W17),(Datos!M17-Datos!W17)/Datos!W17," - ")</f>
        <v>-0.74229691876750703</v>
      </c>
      <c r="I17" s="349">
        <f>IF(ISNUMBER((Tasas!C17-Datos!BE17)/Datos!BE17),(Tasas!C17-Datos!BE17)/Datos!BE17," - ")</f>
        <v>1.9619286856098912</v>
      </c>
      <c r="J17" s="348">
        <f>IF(ISNUMBER((Tasas!D17-Datos!BF17)/Datos!BF17),(Tasas!D17-Datos!BF17)/Datos!BF17," - ")</f>
        <v>0.29295856273543902</v>
      </c>
      <c r="K17" s="350">
        <f>IF(ISNUMBER((Tasas!E17-Datos!BG17)/Datos!BG17),(Tasas!E17-Datos!BG17)/Datos!BG17," - ")</f>
        <v>1.132122967879845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-2.3622047244094488E-2</v>
      </c>
      <c r="E18" s="347">
        <f>IF(ISNUMBER(
   IF(D_I="SI",(Datos!J18-Datos!T18)/Datos!T18,(Datos!J18+Datos!AD18-(Datos!T18+Datos!AL18))/(Datos!T18+Datos!AL18))
     ),IF(D_I="SI",(Datos!J18-Datos!T18)/Datos!T18,(Datos!J18+Datos!AD18-(Datos!T18+Datos!AL18))/(Datos!T18+Datos!AL18))," - ")</f>
        <v>0.23622047244094488</v>
      </c>
      <c r="F18" s="347">
        <f>IF(ISNUMBER(
   IF(D_I="SI",(Datos!K18-Datos!U18)/Datos!U18,(Datos!K18+Datos!AE18-(Datos!U18+Datos!AM18))/(Datos!U18+Datos!AM18))
     ),IF(D_I="SI",(Datos!K18-Datos!U18)/Datos!U18,(Datos!K18+Datos!AE18-(Datos!U18+Datos!AM18))/(Datos!U18+Datos!AM18))," - ")</f>
        <v>0.10491803278688525</v>
      </c>
      <c r="G18" s="348">
        <f>IF(ISNUMBER(
   IF(D_I="SI",(Datos!L18-Datos!V18)/Datos!V18,(Datos!L18+Datos!AF18-(Datos!V18+Datos!AN18))/(Datos!V18+Datos!AN18))
     ),IF(D_I="SI",(Datos!L18-Datos!V18)/Datos!V18,(Datos!L18+Datos!AF18-(Datos!V18+Datos!AN18))/(Datos!V18+Datos!AN18))," - ")</f>
        <v>0.15331010452961671</v>
      </c>
      <c r="H18" s="229">
        <f>IF(ISNUMBER((Datos!M18-Datos!W18)/Datos!W18),(Datos!M18-Datos!W18)/Datos!W18," - ")</f>
        <v>-0.15384615384615385</v>
      </c>
      <c r="I18" s="349">
        <f>IF(ISNUMBER((Tasas!C18-Datos!BE18)/Datos!BE18),(Tasas!C18-Datos!BE18)/Datos!BE18," - ")</f>
        <v>4.3796978876952927E-2</v>
      </c>
      <c r="J18" s="348">
        <f>IF(ISNUMBER((Tasas!D18-Datos!BF18)/Datos!BF18),(Tasas!D18-Datos!BF18)/Datos!BF18," - ")</f>
        <v>-0.23419310659666731</v>
      </c>
      <c r="K18" s="350">
        <f>IF(ISNUMBER((Tasas!E18-Datos!BG18)/Datos!BG18),(Tasas!E18-Datos!BG18)/Datos!BG18," - ")</f>
        <v>1.804781820670032E-2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0.10700555318240068</v>
      </c>
      <c r="E19" s="353">
        <f>IF(ISNUMBER(
   IF(D_I="SI",(Datos!J19-Datos!T19)/Datos!T19,(Datos!J19+Datos!AD19-(Datos!T19+Datos!AL19))/(Datos!T19+Datos!AL19))
     ),IF(D_I="SI",(Datos!J19-Datos!T19)/Datos!T19,(Datos!J19+Datos!AD19-(Datos!T19+Datos!AL19))/(Datos!T19+Datos!AL19))," - ")</f>
        <v>7.5778838057816447E-2</v>
      </c>
      <c r="F19" s="353">
        <f>IF(ISNUMBER(
   IF(D_I="SI",(Datos!K19-Datos!U19)/Datos!U19,(Datos!K19+Datos!AE19-(Datos!U19+Datos!AM19))/(Datos!U19+Datos!AM19))
     ),IF(D_I="SI",(Datos!K19-Datos!U19)/Datos!U19,(Datos!K19+Datos!AE19-(Datos!U19+Datos!AM19))/(Datos!U19+Datos!AM19))," - ")</f>
        <v>-9.7087378640776691E-3</v>
      </c>
      <c r="G19" s="354">
        <f>IF(ISNUMBER(
   IF(D_I="SI",(Datos!L19-Datos!V19)/Datos!V19,(Datos!L19+Datos!AF19-(Datos!V19+Datos!AN19))/(Datos!V19+Datos!AN19))
     ),IF(D_I="SI",(Datos!L19-Datos!V19)/Datos!V19,(Datos!L19+Datos!AF19-(Datos!V19+Datos!AN19))/(Datos!V19+Datos!AN19))," - ")</f>
        <v>0.16589147286821707</v>
      </c>
      <c r="H19" s="355">
        <f>IF(ISNUMBER((Datos!M19-Datos!W19)/Datos!W19),(Datos!M19-Datos!W19)/Datos!W19," - ")</f>
        <v>0.11621621621621622</v>
      </c>
      <c r="I19" s="356">
        <f>IF(ISNUMBER((Tasas!C19-Datos!BE19)/Datos!BE19),(Tasas!C19-Datos!BE19)/Datos!BE19," - ")</f>
        <v>0.17732178142574859</v>
      </c>
      <c r="J19" s="354">
        <f>IF(ISNUMBER((Tasas!D19-Datos!BF19)/Datos!BF19),(Tasas!D19-Datos!BF19)/Datos!BF19," - ")</f>
        <v>0.12715951245363005</v>
      </c>
      <c r="K19" s="357">
        <f>IF(ISNUMBER((Tasas!E19-Datos!BG19)/Datos!BG19),(Tasas!E19-Datos!BG19)/Datos!BG19," - ")</f>
        <v>0.10423191714526936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0.10741166631821032</v>
      </c>
      <c r="E20" s="362">
        <f>IF(ISNUMBER(
   IF(J_V="SI",(Datos!J20-Datos!T20)/Datos!T20,(Datos!J20+Datos!Z20-(Datos!T20+Datos!AH20))/(Datos!T20+Datos!AH20))
     ),IF(J_V="SI",(Datos!J20-Datos!T20)/Datos!T20,(Datos!J20+Datos!Z20-(Datos!T20+Datos!AH20))/(Datos!T20+Datos!AH20))," - ")</f>
        <v>-0.21722972972972973</v>
      </c>
      <c r="F20" s="362">
        <f>IF(ISNUMBER(
   IF(J_V="SI",(Datos!K20-Datos!U20)/Datos!U20,(Datos!K20+Datos!AA20-(Datos!U20+Datos!AI20))/(Datos!U20+Datos!AI20))
     ),IF(J_V="SI",(Datos!K20-Datos!U20)/Datos!U20,(Datos!K20+Datos!AA20-(Datos!U20+Datos!AI20))/(Datos!U20+Datos!AI20))," - ")</f>
        <v>-0.11614576224921523</v>
      </c>
      <c r="G20" s="363">
        <f>IF(ISNUMBER(
   IF(J_V="SI",(Datos!L20-Datos!V20)/Datos!V20,(Datos!L20+Datos!AB20-(Datos!V20+Datos!AJ20))/(Datos!V20+Datos!AJ20))
     ),IF(J_V="SI",(Datos!L20-Datos!V20)/Datos!V20,(Datos!L20+Datos!AB20-(Datos!V20+Datos!AJ20))/(Datos!V20+Datos!AJ20))," - ")</f>
        <v>2.7725118483412321E-2</v>
      </c>
      <c r="H20" s="364">
        <f>IF(ISNUMBER((Datos!M20-Datos!W20)/Datos!W20),(Datos!M20-Datos!W20)/Datos!W20," - ")</f>
        <v>-3.2188841201716736E-2</v>
      </c>
      <c r="I20" s="361">
        <f>IF(ISNUMBER((Tasas!C20-Datos!BE20)/Datos!BE20),(Tasas!C20-Datos!BE20)/Datos!BE20," - ")</f>
        <v>0.16277670523903057</v>
      </c>
      <c r="J20" s="362">
        <f>IF(ISNUMBER((Tasas!D20-Datos!BF20)/Datos!BF20),(Tasas!D20-Datos!BF20)/Datos!BF20," - ")</f>
        <v>-0.52333943690049189</v>
      </c>
      <c r="K20" s="363">
        <f>IF(ISNUMBER((Tasas!E20-Datos!BG20)/Datos!BG20),(Tasas!E20-Datos!BG20)/Datos!BG20," - ")</f>
        <v>0.13649743289230057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0.21286273057575028</v>
      </c>
      <c r="E22" s="277">
        <f t="shared" si="1"/>
        <v>0.51021704557893621</v>
      </c>
      <c r="F22" s="277">
        <f t="shared" si="1"/>
        <v>0.40285409842791625</v>
      </c>
      <c r="G22" s="278">
        <f t="shared" si="1"/>
        <v>0.27991420769352737</v>
      </c>
      <c r="H22" s="284">
        <f t="shared" si="1"/>
        <v>0.38861582982202797</v>
      </c>
      <c r="I22" s="276">
        <f t="shared" si="1"/>
        <v>0.73141459476282489</v>
      </c>
      <c r="J22" s="277">
        <f t="shared" si="1"/>
        <v>0.44885445497780418</v>
      </c>
      <c r="K22" s="278">
        <f t="shared" si="1"/>
        <v>0.41381743577669899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ilSjlPD9/WrUXaoA8MuT6VeI3FHgfiqJ+LF2wKmfy4je2zyqvwSx8b2c4Cfvfc9ZezX5KCcYm1oJJKTD1xI5A==" saltValue="TGwnT6n456uEWX3ncH40B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